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10" yWindow="-30" windowWidth="18540" windowHeight="10770" tabRatio="861" activeTab="1"/>
  </bookViews>
  <sheets>
    <sheet name="Sheet1" sheetId="49" r:id="rId1"/>
    <sheet name="Str.1" sheetId="16" r:id="rId2"/>
    <sheet name="PRIMICI" sheetId="21" r:id="rId3"/>
    <sheet name="Izdaci " sheetId="30" r:id="rId4"/>
    <sheet name="Korisnici" sheetId="40" r:id="rId5"/>
    <sheet name="Organizaciona" sheetId="48" r:id="rId6"/>
    <sheet name="funkcionalna" sheetId="41" r:id="rId7"/>
  </sheets>
  <externalReferences>
    <externalReference r:id="rId8"/>
    <externalReference r:id="rId9"/>
    <externalReference r:id="rId10"/>
  </externalReferences>
  <definedNames>
    <definedName name="_xlnm.Print_Area" localSheetId="6">funkcionalna!$A$1:$D$83</definedName>
    <definedName name="_xlnm.Print_Area" localSheetId="3">'Izdaci '!$A$1:$K$150</definedName>
    <definedName name="_xlnm.Print_Area" localSheetId="4">Korisnici!$A$1:$N$836</definedName>
    <definedName name="_xlnm.Print_Area" localSheetId="5">Organizaciona!$A$1:$K$22</definedName>
    <definedName name="_xlnm.Print_Area" localSheetId="2">PRIMICI!$A$1:$K$153</definedName>
    <definedName name="_xlnm.Print_Area" localSheetId="1">Str.1!$A$1:$H$44</definedName>
    <definedName name="_xlnm.Print_Titles" localSheetId="3">'Izdaci '!$4:$6</definedName>
    <definedName name="_xlnm.Print_Titles" localSheetId="4">Korisnici!$6:$7</definedName>
    <definedName name="_xlnm.Print_Titles" localSheetId="2">PRIMICI!$4:$6</definedName>
  </definedNames>
  <calcPr calcId="145621"/>
</workbook>
</file>

<file path=xl/calcChain.xml><?xml version="1.0" encoding="utf-8"?>
<calcChain xmlns="http://schemas.openxmlformats.org/spreadsheetml/2006/main">
  <c r="F20" i="16" l="1"/>
  <c r="F21" i="16" s="1"/>
  <c r="H106" i="30" l="1"/>
  <c r="I106" i="30"/>
  <c r="J106" i="30"/>
  <c r="K106" i="30"/>
  <c r="G106" i="30"/>
  <c r="H105" i="30"/>
  <c r="I105" i="30"/>
  <c r="J105" i="30"/>
  <c r="K105" i="30"/>
  <c r="G105" i="30"/>
  <c r="H103" i="30"/>
  <c r="I103" i="30"/>
  <c r="G103" i="30"/>
  <c r="H104" i="30"/>
  <c r="I104" i="30"/>
  <c r="J104" i="30"/>
  <c r="K104" i="30"/>
  <c r="G104" i="30"/>
  <c r="H102" i="30"/>
  <c r="I102" i="30"/>
  <c r="J102" i="30"/>
  <c r="K102" i="30"/>
  <c r="L322" i="40"/>
  <c r="G102" i="30"/>
  <c r="H101" i="30"/>
  <c r="I101" i="30"/>
  <c r="J101" i="30"/>
  <c r="K101" i="30"/>
  <c r="G101" i="30"/>
  <c r="F97" i="30"/>
  <c r="G97" i="30"/>
  <c r="H97" i="30"/>
  <c r="I97" i="30"/>
  <c r="J97" i="30"/>
  <c r="K97" i="30"/>
  <c r="E97" i="30"/>
  <c r="H126" i="30"/>
  <c r="I126" i="30"/>
  <c r="J126" i="30"/>
  <c r="K126" i="30"/>
  <c r="G126" i="30"/>
  <c r="H130" i="30"/>
  <c r="I130" i="30"/>
  <c r="J130" i="30"/>
  <c r="K130" i="30"/>
  <c r="G130" i="30"/>
  <c r="H141" i="30"/>
  <c r="I141" i="30"/>
  <c r="G141" i="30"/>
  <c r="G125" i="30"/>
  <c r="H125" i="30"/>
  <c r="I125" i="30"/>
  <c r="J125" i="30"/>
  <c r="K125" i="30"/>
  <c r="F125" i="30"/>
  <c r="H129" i="30"/>
  <c r="I129" i="30"/>
  <c r="G129" i="30"/>
  <c r="H128" i="30"/>
  <c r="I128" i="30"/>
  <c r="G128" i="30"/>
  <c r="H127" i="30"/>
  <c r="I127" i="30"/>
  <c r="G127" i="30"/>
  <c r="H140" i="30"/>
  <c r="I140" i="30"/>
  <c r="G140" i="30"/>
  <c r="D142" i="21" l="1"/>
  <c r="G813" i="40"/>
  <c r="F267" i="40" l="1"/>
  <c r="P813" i="40"/>
  <c r="D73" i="30" l="1"/>
  <c r="C73" i="30"/>
  <c r="G402" i="40"/>
  <c r="G374" i="40"/>
  <c r="D84" i="30"/>
  <c r="C84" i="30"/>
  <c r="E147" i="21"/>
  <c r="D119" i="30"/>
  <c r="D107" i="30"/>
  <c r="G740" i="40"/>
  <c r="D29" i="30"/>
  <c r="G682" i="40"/>
  <c r="G649" i="40"/>
  <c r="G660" i="40"/>
  <c r="G661" i="40"/>
  <c r="G663" i="40"/>
  <c r="G637" i="40"/>
  <c r="G441" i="40"/>
  <c r="G412" i="40"/>
  <c r="G346" i="40"/>
  <c r="G325" i="40"/>
  <c r="G277" i="40"/>
  <c r="G158" i="40"/>
  <c r="G156" i="40"/>
  <c r="G154" i="40"/>
  <c r="H160" i="40"/>
  <c r="D13" i="30"/>
  <c r="G629" i="40"/>
  <c r="G181" i="40"/>
  <c r="D87" i="30"/>
  <c r="G232" i="40" l="1"/>
  <c r="G235" i="40"/>
  <c r="G220" i="40"/>
  <c r="G221" i="40"/>
  <c r="G210" i="40"/>
  <c r="G196" i="40"/>
  <c r="G165" i="40"/>
  <c r="G106" i="40"/>
  <c r="G64" i="40"/>
  <c r="G734" i="40"/>
  <c r="G638" i="40"/>
  <c r="D24" i="30" s="1"/>
  <c r="G801" i="40" l="1"/>
  <c r="H801" i="40"/>
  <c r="D8" i="21"/>
  <c r="H730" i="40"/>
  <c r="H702" i="40"/>
  <c r="H640" i="40"/>
  <c r="H641" i="40"/>
  <c r="H549" i="40"/>
  <c r="H547" i="40"/>
  <c r="H508" i="40"/>
  <c r="H477" i="40"/>
  <c r="H434" i="40"/>
  <c r="H435" i="40"/>
  <c r="H297" i="40"/>
  <c r="H70" i="40"/>
  <c r="H157" i="40"/>
  <c r="H156" i="40"/>
  <c r="H115" i="40"/>
  <c r="H80" i="40"/>
  <c r="H74" i="40"/>
  <c r="H72" i="40"/>
  <c r="H48" i="40"/>
  <c r="D50" i="41" l="1"/>
  <c r="G144" i="21" l="1"/>
  <c r="G143" i="21"/>
  <c r="G57" i="21"/>
  <c r="H538" i="40"/>
  <c r="H539" i="40"/>
  <c r="O539" i="40"/>
  <c r="H694" i="40" l="1"/>
  <c r="H788" i="40"/>
  <c r="P788" i="40"/>
  <c r="O721" i="40" l="1"/>
  <c r="H717" i="40"/>
  <c r="H716" i="40"/>
  <c r="O716" i="40"/>
  <c r="H635" i="40"/>
  <c r="P635" i="40"/>
  <c r="O635" i="40"/>
  <c r="H629" i="40"/>
  <c r="O628" i="40"/>
  <c r="H628" i="40"/>
  <c r="P542" i="40"/>
  <c r="H542" i="40"/>
  <c r="O542" i="40"/>
  <c r="O535" i="40"/>
  <c r="H537" i="40"/>
  <c r="H504" i="40"/>
  <c r="O504" i="40"/>
  <c r="O472" i="40"/>
  <c r="H430" i="40"/>
  <c r="H426" i="40"/>
  <c r="H425" i="40"/>
  <c r="H292" i="40"/>
  <c r="H287" i="40"/>
  <c r="P292" i="40"/>
  <c r="H288" i="40"/>
  <c r="P287" i="40"/>
  <c r="O287" i="40"/>
  <c r="O292" i="40" l="1"/>
  <c r="H151" i="40"/>
  <c r="O152" i="40"/>
  <c r="O151" i="40"/>
  <c r="H111" i="40"/>
  <c r="P111" i="40"/>
  <c r="O111" i="40"/>
  <c r="H107" i="40"/>
  <c r="H68" i="40"/>
  <c r="O68" i="40"/>
  <c r="O44" i="40"/>
  <c r="H63" i="40" l="1"/>
  <c r="O64" i="40"/>
  <c r="H64" i="40"/>
  <c r="O63" i="40"/>
  <c r="O40" i="40"/>
  <c r="L139" i="40" l="1"/>
  <c r="H233" i="40"/>
  <c r="H189" i="40"/>
  <c r="H239" i="40"/>
  <c r="H39" i="30" l="1"/>
  <c r="H128" i="21"/>
  <c r="K739" i="40"/>
  <c r="L745" i="40"/>
  <c r="H274" i="40"/>
  <c r="K522" i="40"/>
  <c r="K391" i="40"/>
  <c r="J350" i="40"/>
  <c r="H415" i="40"/>
  <c r="J401" i="40"/>
  <c r="J394" i="40"/>
  <c r="J388" i="40"/>
  <c r="O325" i="40"/>
  <c r="K57" i="21" l="1"/>
  <c r="J57" i="21"/>
  <c r="K145" i="30"/>
  <c r="K133" i="30"/>
  <c r="K131" i="30"/>
  <c r="K124" i="30"/>
  <c r="K120" i="30"/>
  <c r="K110" i="30"/>
  <c r="K109" i="30"/>
  <c r="K108" i="30"/>
  <c r="K98" i="30"/>
  <c r="K87" i="30"/>
  <c r="K80" i="30"/>
  <c r="K75" i="30"/>
  <c r="K73" i="30"/>
  <c r="K72" i="30"/>
  <c r="K71" i="30"/>
  <c r="K68" i="30"/>
  <c r="K61" i="30"/>
  <c r="K59" i="30"/>
  <c r="K20" i="30"/>
  <c r="J20" i="30"/>
  <c r="K16" i="30"/>
  <c r="K47" i="30"/>
  <c r="K44" i="30"/>
  <c r="K38" i="30"/>
  <c r="K31" i="30"/>
  <c r="C40" i="30" l="1"/>
  <c r="H147" i="40" l="1"/>
  <c r="H148" i="40"/>
  <c r="O148" i="40"/>
  <c r="O146" i="40" l="1"/>
  <c r="P629" i="40"/>
  <c r="O147" i="40"/>
  <c r="H146" i="40"/>
  <c r="H226" i="40" l="1"/>
  <c r="H230" i="40"/>
  <c r="H106" i="40" l="1"/>
  <c r="L230" i="40" l="1"/>
  <c r="J735" i="40"/>
  <c r="N734" i="40"/>
  <c r="M734" i="40"/>
  <c r="J734" i="40"/>
  <c r="H16" i="30" l="1"/>
  <c r="H236" i="40" l="1"/>
  <c r="H225" i="40"/>
  <c r="H221" i="40"/>
  <c r="P147" i="40"/>
  <c r="P64" i="40"/>
  <c r="O41" i="40"/>
  <c r="H41" i="40"/>
  <c r="N14" i="30"/>
  <c r="N12" i="30"/>
  <c r="N13" i="30"/>
  <c r="J16" i="30"/>
  <c r="H126" i="21"/>
  <c r="H127" i="21"/>
  <c r="F139" i="21" l="1"/>
  <c r="I413" i="40"/>
  <c r="G406" i="40"/>
  <c r="H406" i="40"/>
  <c r="K406" i="40"/>
  <c r="N410" i="40"/>
  <c r="N406" i="40" s="1"/>
  <c r="N403" i="40" s="1"/>
  <c r="K138" i="30" s="1"/>
  <c r="M410" i="40"/>
  <c r="M406" i="40" s="1"/>
  <c r="M403" i="40" s="1"/>
  <c r="J409" i="40"/>
  <c r="L409" i="40" s="1"/>
  <c r="J408" i="40"/>
  <c r="L408" i="40" s="1"/>
  <c r="J396" i="40"/>
  <c r="K398" i="40"/>
  <c r="J406" i="40" l="1"/>
  <c r="J393" i="40"/>
  <c r="I389" i="40"/>
  <c r="L387" i="40"/>
  <c r="K383" i="40"/>
  <c r="J382" i="40"/>
  <c r="K382" i="40"/>
  <c r="K381" i="40"/>
  <c r="K380" i="40"/>
  <c r="J376" i="40"/>
  <c r="K368" i="40"/>
  <c r="J371" i="40"/>
  <c r="L371" i="40" s="1"/>
  <c r="L370" i="40"/>
  <c r="L372" i="40"/>
  <c r="J369" i="40"/>
  <c r="J367" i="40"/>
  <c r="J364" i="40"/>
  <c r="L365" i="40"/>
  <c r="L366" i="40"/>
  <c r="J360" i="40"/>
  <c r="L363" i="40"/>
  <c r="L362" i="40"/>
  <c r="L356" i="40"/>
  <c r="J353" i="40"/>
  <c r="L353" i="40" s="1"/>
  <c r="L354" i="40"/>
  <c r="L355" i="40"/>
  <c r="J352" i="40"/>
  <c r="M351" i="40"/>
  <c r="J351" i="40"/>
  <c r="N338" i="40"/>
  <c r="M338" i="40"/>
  <c r="J338" i="40"/>
  <c r="L339" i="40"/>
  <c r="L340" i="40"/>
  <c r="J336" i="40"/>
  <c r="L330" i="40"/>
  <c r="J331" i="40"/>
  <c r="J329" i="40" s="1"/>
  <c r="L327" i="40"/>
  <c r="L328" i="40"/>
  <c r="K325" i="40"/>
  <c r="J368" i="40" l="1"/>
  <c r="L369" i="40"/>
  <c r="J326" i="40"/>
  <c r="J325" i="40" s="1"/>
  <c r="J323" i="40"/>
  <c r="J321" i="40" s="1"/>
  <c r="L319" i="40"/>
  <c r="J317" i="40"/>
  <c r="J315" i="40"/>
  <c r="H311" i="40"/>
  <c r="L312" i="40"/>
  <c r="L313" i="40"/>
  <c r="J311" i="40"/>
  <c r="L303" i="40"/>
  <c r="H302" i="40"/>
  <c r="H300" i="40" s="1"/>
  <c r="H294" i="40"/>
  <c r="R232" i="40" l="1"/>
  <c r="O107" i="40" l="1"/>
  <c r="O106" i="40"/>
  <c r="M44" i="40"/>
  <c r="N44" i="40"/>
  <c r="N41" i="40"/>
  <c r="M41" i="40"/>
  <c r="N40" i="40"/>
  <c r="M40" i="40"/>
  <c r="H44" i="40"/>
  <c r="H40" i="40"/>
  <c r="P44" i="40"/>
  <c r="P40" i="40"/>
  <c r="P39" i="40"/>
  <c r="Q40" i="40"/>
  <c r="H721" i="40"/>
  <c r="H718" i="40"/>
  <c r="H784" i="40"/>
  <c r="H698" i="40"/>
  <c r="H500" i="40"/>
  <c r="H468" i="40"/>
  <c r="H427" i="40" l="1"/>
  <c r="H298" i="40" l="1"/>
  <c r="J48" i="21" l="1"/>
  <c r="K48" i="21"/>
  <c r="K86" i="21"/>
  <c r="J86" i="21"/>
  <c r="J87" i="21"/>
  <c r="K87" i="21"/>
  <c r="N134" i="40"/>
  <c r="K144" i="30" s="1"/>
  <c r="K143" i="30" s="1"/>
  <c r="M134" i="40"/>
  <c r="J145" i="30"/>
  <c r="J133" i="30"/>
  <c r="J131" i="30"/>
  <c r="J124" i="30"/>
  <c r="J109" i="30"/>
  <c r="J108" i="30"/>
  <c r="J98" i="30"/>
  <c r="J87" i="30"/>
  <c r="J86" i="30"/>
  <c r="J75" i="30"/>
  <c r="J73" i="30"/>
  <c r="J72" i="30"/>
  <c r="J71" i="30"/>
  <c r="J68" i="30"/>
  <c r="J61" i="30"/>
  <c r="J59" i="30"/>
  <c r="J44" i="30"/>
  <c r="J38" i="30"/>
  <c r="J31" i="30"/>
  <c r="J85" i="30" l="1"/>
  <c r="K34" i="21"/>
  <c r="K32" i="21"/>
  <c r="K28" i="21"/>
  <c r="J32" i="21"/>
  <c r="J28" i="21"/>
  <c r="E28" i="21"/>
  <c r="E30" i="21"/>
  <c r="E34" i="21"/>
  <c r="E29" i="21"/>
  <c r="E33" i="21"/>
  <c r="E32" i="21"/>
  <c r="N27" i="21"/>
  <c r="M27" i="21"/>
  <c r="L27" i="21"/>
  <c r="K47" i="21"/>
  <c r="J47" i="21"/>
  <c r="N47" i="21"/>
  <c r="M47" i="21"/>
  <c r="E47" i="21"/>
  <c r="L47" i="21"/>
  <c r="F46" i="21" l="1"/>
  <c r="G46" i="21"/>
  <c r="H46" i="21"/>
  <c r="I87" i="21"/>
  <c r="K46" i="21"/>
  <c r="J46" i="21"/>
  <c r="E46" i="21"/>
  <c r="I48" i="21"/>
  <c r="H159" i="40" l="1"/>
  <c r="L159" i="40" s="1"/>
  <c r="O159" i="40"/>
  <c r="L416" i="40" l="1"/>
  <c r="H31" i="40"/>
  <c r="N241" i="40" l="1"/>
  <c r="M241" i="40"/>
  <c r="H241" i="40"/>
  <c r="H235" i="40" l="1"/>
  <c r="H232" i="40" s="1"/>
  <c r="H219" i="40"/>
  <c r="H217" i="40"/>
  <c r="H210" i="40"/>
  <c r="F58" i="30"/>
  <c r="G58" i="30"/>
  <c r="H58" i="30"/>
  <c r="L194" i="40"/>
  <c r="N192" i="40"/>
  <c r="M192" i="40"/>
  <c r="H192" i="40"/>
  <c r="N191" i="40"/>
  <c r="M191" i="40"/>
  <c r="N189" i="40"/>
  <c r="M189" i="40"/>
  <c r="H191" i="40"/>
  <c r="F76" i="30"/>
  <c r="G76" i="30"/>
  <c r="H76" i="30"/>
  <c r="H188" i="40"/>
  <c r="H187" i="40"/>
  <c r="H185" i="40"/>
  <c r="K58" i="30" l="1"/>
  <c r="J58" i="30"/>
  <c r="E58" i="30"/>
  <c r="K396" i="40"/>
  <c r="J397" i="40"/>
  <c r="L401" i="40"/>
  <c r="G107" i="30"/>
  <c r="L492" i="40" l="1"/>
  <c r="K163" i="40"/>
  <c r="J163" i="40"/>
  <c r="I163" i="40"/>
  <c r="O227" i="40" l="1"/>
  <c r="O228" i="40"/>
  <c r="H134" i="40"/>
  <c r="J134" i="40"/>
  <c r="K462" i="40" l="1"/>
  <c r="K461" i="40" s="1"/>
  <c r="K437" i="40" l="1"/>
  <c r="H119" i="21"/>
  <c r="H130" i="21"/>
  <c r="K395" i="40"/>
  <c r="N451" i="40" l="1"/>
  <c r="M451" i="40"/>
  <c r="L140" i="21" l="1"/>
  <c r="H125" i="21"/>
  <c r="F140" i="21"/>
  <c r="L142" i="30" l="1"/>
  <c r="L9" i="30"/>
  <c r="L11" i="30"/>
  <c r="L18" i="30"/>
  <c r="L21" i="30"/>
  <c r="L49" i="30"/>
  <c r="L82" i="30"/>
  <c r="L91" i="30"/>
  <c r="L92" i="30"/>
  <c r="L93" i="30"/>
  <c r="L111" i="30"/>
  <c r="L113" i="30"/>
  <c r="L115" i="30"/>
  <c r="L117" i="30"/>
  <c r="M374" i="40" l="1"/>
  <c r="S373" i="40"/>
  <c r="R373" i="40"/>
  <c r="E83" i="41" l="1"/>
  <c r="E74" i="41" s="1"/>
  <c r="E70" i="41"/>
  <c r="E66" i="41"/>
  <c r="E62" i="41"/>
  <c r="E61" i="41"/>
  <c r="E60" i="41"/>
  <c r="E59" i="41"/>
  <c r="E51" i="41"/>
  <c r="D51" i="41"/>
  <c r="E50" i="41"/>
  <c r="E48" i="41"/>
  <c r="E46" i="41"/>
  <c r="E43" i="41"/>
  <c r="E42" i="41"/>
  <c r="E40" i="41"/>
  <c r="E38" i="41"/>
  <c r="E37" i="41" s="1"/>
  <c r="E34" i="41"/>
  <c r="E32" i="41"/>
  <c r="E31" i="41"/>
  <c r="E29" i="41"/>
  <c r="E28" i="41"/>
  <c r="E20" i="41"/>
  <c r="D20" i="41"/>
  <c r="E13" i="41"/>
  <c r="E12" i="41"/>
  <c r="E11" i="41"/>
  <c r="E8" i="41"/>
  <c r="E6" i="41"/>
  <c r="E58" i="41" l="1"/>
  <c r="E27" i="41"/>
  <c r="E65" i="41"/>
  <c r="E5" i="41"/>
  <c r="E44" i="41"/>
  <c r="I83" i="41" l="1"/>
  <c r="H83" i="41"/>
  <c r="H74" i="41" s="1"/>
  <c r="G83" i="41"/>
  <c r="G74" i="41" s="1"/>
  <c r="F83" i="41"/>
  <c r="F74" i="41" s="1"/>
  <c r="I74" i="41"/>
  <c r="I70" i="41"/>
  <c r="H70" i="41"/>
  <c r="G70" i="41"/>
  <c r="F70" i="41"/>
  <c r="I66" i="41"/>
  <c r="I65" i="41" s="1"/>
  <c r="H66" i="41"/>
  <c r="H65" i="41" s="1"/>
  <c r="G66" i="41"/>
  <c r="F66" i="41"/>
  <c r="F65" i="41" s="1"/>
  <c r="I62" i="41"/>
  <c r="H62" i="41"/>
  <c r="G62" i="41"/>
  <c r="F62" i="41"/>
  <c r="I61" i="41"/>
  <c r="H61" i="41"/>
  <c r="G61" i="41"/>
  <c r="F61" i="41"/>
  <c r="I60" i="41"/>
  <c r="H60" i="41"/>
  <c r="G60" i="41"/>
  <c r="F60" i="41"/>
  <c r="I59" i="41"/>
  <c r="I58" i="41" s="1"/>
  <c r="H59" i="41"/>
  <c r="H58" i="41" s="1"/>
  <c r="G59" i="41"/>
  <c r="F59" i="41"/>
  <c r="F58" i="41" s="1"/>
  <c r="I51" i="41"/>
  <c r="H51" i="41"/>
  <c r="G51" i="41"/>
  <c r="F51" i="41"/>
  <c r="I50" i="41"/>
  <c r="H50" i="41"/>
  <c r="G50" i="41"/>
  <c r="F50" i="41"/>
  <c r="I48" i="41"/>
  <c r="H48" i="41"/>
  <c r="G48" i="41"/>
  <c r="F48" i="41"/>
  <c r="I46" i="41"/>
  <c r="I44" i="41" s="1"/>
  <c r="H46" i="41"/>
  <c r="H44" i="41" s="1"/>
  <c r="G46" i="41"/>
  <c r="G44" i="41" s="1"/>
  <c r="F46" i="41"/>
  <c r="F44" i="41" s="1"/>
  <c r="I43" i="41"/>
  <c r="H43" i="41"/>
  <c r="G43" i="41"/>
  <c r="F43" i="41"/>
  <c r="I42" i="41"/>
  <c r="H42" i="41"/>
  <c r="G42" i="41"/>
  <c r="F42" i="41"/>
  <c r="I40" i="41"/>
  <c r="H40" i="41"/>
  <c r="G40" i="41"/>
  <c r="F40" i="41"/>
  <c r="I38" i="41"/>
  <c r="I37" i="41" s="1"/>
  <c r="H38" i="41"/>
  <c r="H37" i="41" s="1"/>
  <c r="G38" i="41"/>
  <c r="G37" i="41" s="1"/>
  <c r="F38" i="41"/>
  <c r="F37" i="41" s="1"/>
  <c r="I34" i="41"/>
  <c r="H34" i="41"/>
  <c r="G34" i="41"/>
  <c r="F34" i="41"/>
  <c r="I32" i="41"/>
  <c r="H32" i="41"/>
  <c r="G32" i="41"/>
  <c r="F32" i="41"/>
  <c r="I31" i="41"/>
  <c r="H31" i="41"/>
  <c r="G31" i="41"/>
  <c r="F31" i="41"/>
  <c r="I29" i="41"/>
  <c r="H29" i="41"/>
  <c r="G29" i="41"/>
  <c r="F29" i="41"/>
  <c r="I28" i="41"/>
  <c r="H28" i="41"/>
  <c r="G28" i="41"/>
  <c r="F28" i="41"/>
  <c r="I20" i="41"/>
  <c r="H20" i="41"/>
  <c r="G20" i="41"/>
  <c r="F20" i="41"/>
  <c r="I16" i="41"/>
  <c r="I14" i="41" s="1"/>
  <c r="H16" i="41"/>
  <c r="H14" i="41" s="1"/>
  <c r="G16" i="41"/>
  <c r="G14" i="41" s="1"/>
  <c r="F16" i="41"/>
  <c r="F14" i="41" s="1"/>
  <c r="I13" i="41"/>
  <c r="H13" i="41"/>
  <c r="G13" i="41"/>
  <c r="F13" i="41"/>
  <c r="I12" i="41"/>
  <c r="H12" i="41"/>
  <c r="G12" i="41"/>
  <c r="F12" i="41"/>
  <c r="I11" i="41"/>
  <c r="H11" i="41"/>
  <c r="G11" i="41"/>
  <c r="F11" i="41"/>
  <c r="I8" i="41"/>
  <c r="H8" i="41"/>
  <c r="G8" i="41"/>
  <c r="F8" i="41"/>
  <c r="I6" i="41"/>
  <c r="H6" i="41"/>
  <c r="H5" i="41" s="1"/>
  <c r="G6" i="41"/>
  <c r="G5" i="41" s="1"/>
  <c r="F6" i="41"/>
  <c r="F5" i="41" s="1"/>
  <c r="G27" i="41" l="1"/>
  <c r="I27" i="41"/>
  <c r="I5" i="41"/>
  <c r="H27" i="41"/>
  <c r="H4" i="41" s="1"/>
  <c r="G65" i="41"/>
  <c r="F27" i="41"/>
  <c r="F4" i="41" s="1"/>
  <c r="G58" i="41"/>
  <c r="I4" i="41" l="1"/>
  <c r="G4" i="41"/>
  <c r="F8" i="48"/>
  <c r="H6" i="48"/>
  <c r="M19" i="30" l="1"/>
  <c r="M13" i="30"/>
  <c r="P694" i="40"/>
  <c r="P504" i="40"/>
  <c r="P500" i="40"/>
  <c r="H472" i="40"/>
  <c r="P430" i="40"/>
  <c r="P425" i="40"/>
  <c r="Q151" i="40"/>
  <c r="P151" i="40"/>
  <c r="P146" i="40"/>
  <c r="I567" i="40" l="1"/>
  <c r="J567" i="40"/>
  <c r="L584" i="40"/>
  <c r="H583" i="40"/>
  <c r="L583" i="40" s="1"/>
  <c r="H685" i="40" l="1"/>
  <c r="I662" i="40"/>
  <c r="J662" i="40"/>
  <c r="K662" i="40"/>
  <c r="L670" i="40"/>
  <c r="L668" i="40"/>
  <c r="L666" i="40"/>
  <c r="L642" i="40"/>
  <c r="I639" i="40"/>
  <c r="J639" i="40"/>
  <c r="K639" i="40"/>
  <c r="H414" i="40" l="1"/>
  <c r="R106" i="40" l="1"/>
  <c r="Q537" i="40" l="1"/>
  <c r="R111" i="40"/>
  <c r="J606" i="40" l="1"/>
  <c r="J601" i="40"/>
  <c r="K599" i="40"/>
  <c r="F567" i="40"/>
  <c r="J563" i="40"/>
  <c r="N553" i="40"/>
  <c r="M553" i="40"/>
  <c r="H553" i="40"/>
  <c r="H555" i="40"/>
  <c r="N554" i="40"/>
  <c r="M554" i="40"/>
  <c r="H554" i="40"/>
  <c r="G299" i="40" l="1"/>
  <c r="E16" i="30" l="1"/>
  <c r="J725" i="40"/>
  <c r="F34" i="30"/>
  <c r="G34" i="30"/>
  <c r="H34" i="30"/>
  <c r="F20" i="30" l="1"/>
  <c r="G20" i="30"/>
  <c r="H20" i="30"/>
  <c r="F19" i="30"/>
  <c r="G19" i="30"/>
  <c r="H19" i="30"/>
  <c r="F14" i="30"/>
  <c r="G14" i="30"/>
  <c r="H14" i="30"/>
  <c r="F13" i="30"/>
  <c r="G13" i="30"/>
  <c r="H13" i="30"/>
  <c r="E24" i="30" l="1"/>
  <c r="F24" i="30"/>
  <c r="H24" i="30"/>
  <c r="I309" i="40"/>
  <c r="J309" i="40"/>
  <c r="K309" i="40"/>
  <c r="G309" i="40"/>
  <c r="F309" i="40"/>
  <c r="I776" i="40"/>
  <c r="K776" i="40"/>
  <c r="M776" i="40"/>
  <c r="N776" i="40"/>
  <c r="F776" i="40"/>
  <c r="G756" i="40"/>
  <c r="I756" i="40"/>
  <c r="J756" i="40"/>
  <c r="K756" i="40"/>
  <c r="F756" i="40"/>
  <c r="K746" i="40"/>
  <c r="J746" i="40"/>
  <c r="I746" i="40"/>
  <c r="F746" i="40"/>
  <c r="F724" i="40"/>
  <c r="C24" i="30" s="1"/>
  <c r="H771" i="40" l="1"/>
  <c r="G776" i="40"/>
  <c r="L770" i="40"/>
  <c r="L765" i="40"/>
  <c r="L764" i="40"/>
  <c r="L763" i="40"/>
  <c r="L762" i="40"/>
  <c r="L761" i="40"/>
  <c r="L760" i="40"/>
  <c r="M758" i="40"/>
  <c r="L759" i="40"/>
  <c r="N758" i="40"/>
  <c r="N768" i="40" s="1"/>
  <c r="K758" i="40"/>
  <c r="K768" i="40" s="1"/>
  <c r="I758" i="40"/>
  <c r="I768" i="40" s="1"/>
  <c r="H758" i="40"/>
  <c r="H768" i="40" s="1"/>
  <c r="F758" i="40"/>
  <c r="F768" i="40" s="1"/>
  <c r="L755" i="40"/>
  <c r="N748" i="40"/>
  <c r="M748" i="40"/>
  <c r="L748" i="40"/>
  <c r="L747" i="40"/>
  <c r="N737" i="40"/>
  <c r="M737" i="40"/>
  <c r="L730" i="40"/>
  <c r="L729" i="40"/>
  <c r="N728" i="40"/>
  <c r="M728" i="40"/>
  <c r="K728" i="40"/>
  <c r="J728" i="40"/>
  <c r="I728" i="40"/>
  <c r="G728" i="40"/>
  <c r="F728" i="40"/>
  <c r="H723" i="40"/>
  <c r="L721" i="40"/>
  <c r="K719" i="40"/>
  <c r="J719" i="40"/>
  <c r="I719" i="40"/>
  <c r="G719" i="40"/>
  <c r="F719" i="40"/>
  <c r="L718" i="40"/>
  <c r="L717" i="40"/>
  <c r="L716" i="40"/>
  <c r="L771" i="40" l="1"/>
  <c r="H776" i="40"/>
  <c r="G758" i="40"/>
  <c r="G768" i="40" s="1"/>
  <c r="N719" i="40"/>
  <c r="H728" i="40"/>
  <c r="L719" i="40"/>
  <c r="C20" i="48" s="1"/>
  <c r="J758" i="40"/>
  <c r="H719" i="40"/>
  <c r="L723" i="40"/>
  <c r="M719" i="40"/>
  <c r="N537" i="40"/>
  <c r="M537" i="40"/>
  <c r="L758" i="40" l="1"/>
  <c r="L728" i="40"/>
  <c r="H279" i="40" l="1"/>
  <c r="L274" i="40"/>
  <c r="I277" i="40"/>
  <c r="J277" i="40"/>
  <c r="K277" i="40"/>
  <c r="L275" i="40"/>
  <c r="N271" i="40"/>
  <c r="M271" i="40"/>
  <c r="H271" i="40"/>
  <c r="N269" i="40"/>
  <c r="K96" i="30" s="1"/>
  <c r="M269" i="40"/>
  <c r="J96" i="30" s="1"/>
  <c r="N239" i="40"/>
  <c r="M239" i="40"/>
  <c r="H238" i="40"/>
  <c r="N236" i="40"/>
  <c r="M236" i="40"/>
  <c r="O236" i="40"/>
  <c r="N232" i="40"/>
  <c r="K55" i="30" s="1"/>
  <c r="M232" i="40"/>
  <c r="J55" i="30" s="1"/>
  <c r="N231" i="40"/>
  <c r="N229" i="40"/>
  <c r="M229" i="40"/>
  <c r="M231" i="40"/>
  <c r="H231" i="40"/>
  <c r="H229" i="40" s="1"/>
  <c r="O229" i="40" s="1"/>
  <c r="N225" i="40"/>
  <c r="M225" i="40"/>
  <c r="O225" i="40"/>
  <c r="N220" i="40"/>
  <c r="M220" i="40"/>
  <c r="L224" i="40"/>
  <c r="H223" i="40"/>
  <c r="N218" i="40"/>
  <c r="M218" i="40"/>
  <c r="H218" i="40"/>
  <c r="L217" i="40"/>
  <c r="H216" i="40"/>
  <c r="H214" i="40" s="1"/>
  <c r="L209" i="40"/>
  <c r="N212" i="40"/>
  <c r="K70" i="30" s="1"/>
  <c r="M212" i="40"/>
  <c r="J70" i="30" s="1"/>
  <c r="H212" i="40"/>
  <c r="N208" i="40"/>
  <c r="N207" i="40"/>
  <c r="K69" i="30" s="1"/>
  <c r="M207" i="40"/>
  <c r="J69" i="30" s="1"/>
  <c r="M208" i="40"/>
  <c r="H207" i="40"/>
  <c r="H208" i="40"/>
  <c r="N204" i="40"/>
  <c r="K66" i="30" s="1"/>
  <c r="M204" i="40"/>
  <c r="J66" i="30" s="1"/>
  <c r="H204" i="40"/>
  <c r="N202" i="40"/>
  <c r="M202" i="40"/>
  <c r="H202" i="40"/>
  <c r="N196" i="40"/>
  <c r="M196" i="40"/>
  <c r="L197" i="40"/>
  <c r="L201" i="40"/>
  <c r="L189" i="40"/>
  <c r="L187" i="40"/>
  <c r="N185" i="40"/>
  <c r="M185" i="40"/>
  <c r="N184" i="40"/>
  <c r="M184" i="40"/>
  <c r="H184" i="40"/>
  <c r="N182" i="40"/>
  <c r="M182" i="40"/>
  <c r="H182" i="40"/>
  <c r="N180" i="40"/>
  <c r="M180" i="40"/>
  <c r="H180" i="40"/>
  <c r="L176" i="40"/>
  <c r="K74" i="30" l="1"/>
  <c r="K60" i="30"/>
  <c r="J74" i="30"/>
  <c r="E76" i="30"/>
  <c r="M277" i="40"/>
  <c r="N277" i="40"/>
  <c r="H183" i="40"/>
  <c r="M183" i="40"/>
  <c r="J52" i="30" s="1"/>
  <c r="N183" i="40"/>
  <c r="K52" i="30" s="1"/>
  <c r="L161" i="40"/>
  <c r="G145" i="30" l="1"/>
  <c r="H145" i="30"/>
  <c r="E145" i="30"/>
  <c r="I688" i="40"/>
  <c r="L688" i="40" s="1"/>
  <c r="J18" i="48" s="1"/>
  <c r="N441" i="40" l="1"/>
  <c r="M441" i="40"/>
  <c r="H441" i="40"/>
  <c r="H491" i="40"/>
  <c r="H494" i="40" s="1"/>
  <c r="N483" i="40"/>
  <c r="M483" i="40"/>
  <c r="H483" i="40"/>
  <c r="K76" i="21"/>
  <c r="J76" i="21"/>
  <c r="G76" i="21"/>
  <c r="K73" i="21"/>
  <c r="J73" i="21"/>
  <c r="G73" i="21"/>
  <c r="K71" i="21"/>
  <c r="J71" i="21"/>
  <c r="G71" i="21"/>
  <c r="J619" i="40"/>
  <c r="J616" i="40"/>
  <c r="J607" i="40"/>
  <c r="N606" i="40"/>
  <c r="K136" i="30" s="1"/>
  <c r="M606" i="40"/>
  <c r="N605" i="40"/>
  <c r="K122" i="30" s="1"/>
  <c r="M605" i="40"/>
  <c r="J122" i="30" l="1"/>
  <c r="M594" i="40"/>
  <c r="J80" i="30" s="1"/>
  <c r="K585" i="40"/>
  <c r="K567" i="40" s="1"/>
  <c r="H573" i="40"/>
  <c r="N569" i="40"/>
  <c r="M569" i="40"/>
  <c r="H569" i="40"/>
  <c r="H570" i="40"/>
  <c r="H565" i="40"/>
  <c r="H566" i="40"/>
  <c r="J557" i="40" l="1"/>
  <c r="N538" i="40"/>
  <c r="M538" i="40"/>
  <c r="M539" i="40"/>
  <c r="H13" i="40" l="1"/>
  <c r="H46" i="40"/>
  <c r="H27" i="40"/>
  <c r="H20" i="40"/>
  <c r="N20" i="40"/>
  <c r="M20" i="40"/>
  <c r="N17" i="40"/>
  <c r="M17" i="40"/>
  <c r="H17" i="40"/>
  <c r="H16" i="40"/>
  <c r="N14" i="40"/>
  <c r="M14" i="40"/>
  <c r="H14" i="40"/>
  <c r="N785" i="40"/>
  <c r="M785" i="40"/>
  <c r="N784" i="40"/>
  <c r="M784" i="40"/>
  <c r="F90" i="30" l="1"/>
  <c r="G90" i="30"/>
  <c r="H90" i="30"/>
  <c r="I680" i="40"/>
  <c r="J680" i="40"/>
  <c r="K680" i="40"/>
  <c r="H529" i="40"/>
  <c r="M529" i="40"/>
  <c r="H528" i="40"/>
  <c r="F39" i="30"/>
  <c r="L511" i="40"/>
  <c r="H531" i="40" l="1"/>
  <c r="F107" i="30"/>
  <c r="H107" i="30"/>
  <c r="L276" i="40"/>
  <c r="N753" i="40"/>
  <c r="K84" i="30" s="1"/>
  <c r="M753" i="40"/>
  <c r="H753" i="40"/>
  <c r="H756" i="40" s="1"/>
  <c r="M740" i="40"/>
  <c r="J37" i="30" s="1"/>
  <c r="J741" i="40"/>
  <c r="J740" i="40"/>
  <c r="N288" i="40"/>
  <c r="M288" i="40"/>
  <c r="M756" i="40" l="1"/>
  <c r="J84" i="30"/>
  <c r="N756" i="40"/>
  <c r="N660" i="40"/>
  <c r="M660" i="40"/>
  <c r="L673" i="40" l="1"/>
  <c r="N665" i="40"/>
  <c r="M665" i="40"/>
  <c r="H665" i="40"/>
  <c r="H661" i="40"/>
  <c r="N659" i="40"/>
  <c r="K36" i="30" s="1"/>
  <c r="M659" i="40"/>
  <c r="H659" i="40"/>
  <c r="N658" i="40"/>
  <c r="M658" i="40"/>
  <c r="N657" i="40"/>
  <c r="M657" i="40"/>
  <c r="H657" i="40"/>
  <c r="N656" i="40"/>
  <c r="M656" i="40"/>
  <c r="H656" i="40"/>
  <c r="N655" i="40"/>
  <c r="K34" i="30" s="1"/>
  <c r="M655" i="40"/>
  <c r="H655" i="40"/>
  <c r="H653" i="40"/>
  <c r="L631" i="40"/>
  <c r="J34" i="30" l="1"/>
  <c r="M650" i="40"/>
  <c r="N679" i="40"/>
  <c r="K90" i="30" s="1"/>
  <c r="M679" i="40"/>
  <c r="H679" i="40"/>
  <c r="N707" i="40"/>
  <c r="M707" i="40"/>
  <c r="H707" i="40"/>
  <c r="N704" i="40"/>
  <c r="M704" i="40"/>
  <c r="N700" i="40"/>
  <c r="M700" i="40"/>
  <c r="H700" i="40"/>
  <c r="H807" i="40"/>
  <c r="M680" i="40" l="1"/>
  <c r="J90" i="30"/>
  <c r="N680" i="40"/>
  <c r="L679" i="40"/>
  <c r="L680" i="40" s="1"/>
  <c r="F18" i="48" s="1"/>
  <c r="H680" i="40"/>
  <c r="K78" i="21" l="1"/>
  <c r="J78" i="21"/>
  <c r="G78" i="21"/>
  <c r="F77" i="40" l="1"/>
  <c r="N79" i="40"/>
  <c r="M79" i="40"/>
  <c r="N80" i="40"/>
  <c r="M80" i="40"/>
  <c r="K123" i="21" l="1"/>
  <c r="K139" i="21"/>
  <c r="N391" i="40" l="1"/>
  <c r="M391" i="40"/>
  <c r="I391" i="40"/>
  <c r="N390" i="40"/>
  <c r="M390" i="40"/>
  <c r="J390" i="40"/>
  <c r="D37" i="16" l="1"/>
  <c r="D33" i="16"/>
  <c r="E37" i="16"/>
  <c r="E33" i="16"/>
  <c r="C63" i="30"/>
  <c r="C76" i="30"/>
  <c r="C59" i="30"/>
  <c r="C60" i="30"/>
  <c r="C19" i="30"/>
  <c r="F650" i="40" l="1"/>
  <c r="F609" i="40"/>
  <c r="F522" i="40" l="1"/>
  <c r="F531" i="40" s="1"/>
  <c r="F448" i="40"/>
  <c r="C83" i="30" s="1"/>
  <c r="C122" i="21"/>
  <c r="D122" i="21"/>
  <c r="E41" i="16"/>
  <c r="D138" i="21"/>
  <c r="D135" i="21"/>
  <c r="D132" i="21" s="1"/>
  <c r="D110" i="21"/>
  <c r="D106" i="21" s="1"/>
  <c r="D102" i="21"/>
  <c r="D64" i="21"/>
  <c r="D56" i="21"/>
  <c r="D50" i="21"/>
  <c r="D46" i="21"/>
  <c r="D36" i="21"/>
  <c r="D27" i="21"/>
  <c r="D23" i="21"/>
  <c r="D16" i="21"/>
  <c r="C142" i="21"/>
  <c r="D41" i="16" s="1"/>
  <c r="C138" i="21"/>
  <c r="C135" i="21"/>
  <c r="C132" i="21" s="1"/>
  <c r="C115" i="21"/>
  <c r="C111" i="21" s="1"/>
  <c r="C109" i="21"/>
  <c r="C102" i="21"/>
  <c r="C93" i="21"/>
  <c r="C64" i="21"/>
  <c r="C56" i="21"/>
  <c r="C50" i="21"/>
  <c r="C46" i="21"/>
  <c r="C36" i="21"/>
  <c r="C27" i="21"/>
  <c r="C23" i="21"/>
  <c r="C16" i="21"/>
  <c r="C145" i="30"/>
  <c r="C144" i="30"/>
  <c r="C139" i="30"/>
  <c r="C137" i="30"/>
  <c r="C136" i="30"/>
  <c r="C135" i="30"/>
  <c r="C133" i="30"/>
  <c r="C132" i="30"/>
  <c r="C131" i="30"/>
  <c r="C124" i="30"/>
  <c r="C122" i="30"/>
  <c r="C120" i="30"/>
  <c r="C110" i="30"/>
  <c r="C109" i="30"/>
  <c r="C108" i="30"/>
  <c r="C107" i="30"/>
  <c r="C99" i="30"/>
  <c r="C98" i="30"/>
  <c r="C96" i="30"/>
  <c r="C90" i="30"/>
  <c r="C87" i="30"/>
  <c r="C86" i="30"/>
  <c r="C80" i="30"/>
  <c r="C79" i="30"/>
  <c r="C77" i="30"/>
  <c r="C75" i="30"/>
  <c r="C74" i="30"/>
  <c r="C72" i="30"/>
  <c r="C71" i="30"/>
  <c r="C70" i="30"/>
  <c r="C69" i="30"/>
  <c r="C68" i="30"/>
  <c r="C66" i="30"/>
  <c r="C65" i="30"/>
  <c r="C61" i="30"/>
  <c r="C58" i="30"/>
  <c r="C57" i="30"/>
  <c r="C55" i="30"/>
  <c r="C54" i="30"/>
  <c r="C48" i="30"/>
  <c r="C47" i="30"/>
  <c r="C46" i="30"/>
  <c r="C44" i="30"/>
  <c r="C43" i="30"/>
  <c r="C42" i="30"/>
  <c r="C39" i="30"/>
  <c r="C38" i="30"/>
  <c r="C37" i="30"/>
  <c r="C36" i="30"/>
  <c r="C35" i="30"/>
  <c r="C34" i="30"/>
  <c r="C31" i="30"/>
  <c r="C30" i="30"/>
  <c r="C25" i="30"/>
  <c r="C23" i="30"/>
  <c r="C20" i="30"/>
  <c r="C16" i="30"/>
  <c r="C15" i="30"/>
  <c r="C14" i="30"/>
  <c r="C13" i="30"/>
  <c r="F805" i="40"/>
  <c r="F796" i="40"/>
  <c r="F792" i="40"/>
  <c r="F786" i="40"/>
  <c r="F705" i="40"/>
  <c r="F701" i="40"/>
  <c r="F696" i="40"/>
  <c r="F686" i="40"/>
  <c r="F662" i="40"/>
  <c r="F639" i="40"/>
  <c r="F633" i="40"/>
  <c r="F622" i="40"/>
  <c r="F602" i="40"/>
  <c r="F597" i="40"/>
  <c r="F556" i="40"/>
  <c r="F552" i="40" s="1"/>
  <c r="C29" i="30" s="1"/>
  <c r="F546" i="40"/>
  <c r="F540" i="40"/>
  <c r="F512" i="40"/>
  <c r="F507" i="40"/>
  <c r="F502" i="40"/>
  <c r="F494" i="40"/>
  <c r="F489" i="40"/>
  <c r="F480" i="40"/>
  <c r="F476" i="40"/>
  <c r="F475" i="40" s="1"/>
  <c r="F470" i="40"/>
  <c r="F442" i="40"/>
  <c r="F437" i="40" s="1"/>
  <c r="F433" i="40"/>
  <c r="F428" i="40"/>
  <c r="F403" i="40"/>
  <c r="C138" i="30" s="1"/>
  <c r="C119" i="30"/>
  <c r="F359" i="40"/>
  <c r="F341" i="40"/>
  <c r="F316" i="40" s="1"/>
  <c r="F357" i="40" s="1"/>
  <c r="F300" i="40"/>
  <c r="F739" i="40"/>
  <c r="F732" i="40"/>
  <c r="F731" i="40" s="1"/>
  <c r="F296" i="40"/>
  <c r="F295" i="40" s="1"/>
  <c r="F290" i="40"/>
  <c r="F281" i="40"/>
  <c r="F277" i="40"/>
  <c r="F248" i="40"/>
  <c r="C64" i="30" s="1"/>
  <c r="F237" i="40"/>
  <c r="C78" i="30" s="1"/>
  <c r="F205" i="40"/>
  <c r="C67" i="30" s="1"/>
  <c r="F183" i="40"/>
  <c r="C52" i="30" s="1"/>
  <c r="F178" i="40"/>
  <c r="F173" i="40" s="1"/>
  <c r="C53" i="30" s="1"/>
  <c r="F169" i="40"/>
  <c r="F163" i="40" s="1"/>
  <c r="F155" i="40"/>
  <c r="F149" i="40"/>
  <c r="F140" i="40"/>
  <c r="F132" i="40"/>
  <c r="C112" i="30" s="1"/>
  <c r="F120" i="40"/>
  <c r="F114" i="40"/>
  <c r="F109" i="40"/>
  <c r="F98" i="40"/>
  <c r="F92" i="40"/>
  <c r="F94" i="40" s="1"/>
  <c r="F71" i="40"/>
  <c r="F66" i="40"/>
  <c r="F51" i="40"/>
  <c r="F47" i="40"/>
  <c r="F42" i="40"/>
  <c r="F32" i="40"/>
  <c r="F29" i="40"/>
  <c r="F15" i="40"/>
  <c r="F12" i="40"/>
  <c r="F22" i="40" l="1"/>
  <c r="D14" i="21"/>
  <c r="D54" i="21"/>
  <c r="F419" i="40"/>
  <c r="C28" i="30"/>
  <c r="F727" i="40"/>
  <c r="F751" i="40" s="1"/>
  <c r="F778" i="40" s="1"/>
  <c r="F203" i="40"/>
  <c r="F172" i="40" s="1"/>
  <c r="F170" i="40"/>
  <c r="C85" i="30"/>
  <c r="C143" i="30"/>
  <c r="F55" i="40"/>
  <c r="F59" i="40" s="1"/>
  <c r="F456" i="40"/>
  <c r="C88" i="30"/>
  <c r="C121" i="30"/>
  <c r="C118" i="30"/>
  <c r="D38" i="16"/>
  <c r="D39" i="16" s="1"/>
  <c r="C89" i="30"/>
  <c r="C45" i="30"/>
  <c r="F802" i="40"/>
  <c r="F809" i="40" s="1"/>
  <c r="F708" i="40"/>
  <c r="F712" i="40" s="1"/>
  <c r="F677" i="40"/>
  <c r="F690" i="40" s="1"/>
  <c r="F589" i="40"/>
  <c r="F624" i="40" s="1"/>
  <c r="F484" i="40"/>
  <c r="F496" i="40" s="1"/>
  <c r="C81" i="30"/>
  <c r="F446" i="40"/>
  <c r="C134" i="30"/>
  <c r="C123" i="30"/>
  <c r="C100" i="30"/>
  <c r="C95" i="30"/>
  <c r="F304" i="40"/>
  <c r="C56" i="30"/>
  <c r="C51" i="30"/>
  <c r="C33" i="30"/>
  <c r="C32" i="30" s="1"/>
  <c r="F126" i="40"/>
  <c r="F142" i="40" s="1"/>
  <c r="C62" i="30"/>
  <c r="C12" i="30"/>
  <c r="F34" i="40"/>
  <c r="C27" i="30"/>
  <c r="C54" i="21"/>
  <c r="C14" i="21"/>
  <c r="C106" i="21"/>
  <c r="F88" i="40"/>
  <c r="F102" i="40" s="1"/>
  <c r="F518" i="40"/>
  <c r="F533" i="40" s="1"/>
  <c r="C26" i="30" l="1"/>
  <c r="D12" i="21"/>
  <c r="D10" i="21" s="1"/>
  <c r="F464" i="40"/>
  <c r="C41" i="30"/>
  <c r="C116" i="30"/>
  <c r="D34" i="16" s="1"/>
  <c r="D35" i="16" s="1"/>
  <c r="F421" i="40"/>
  <c r="C94" i="30"/>
  <c r="F283" i="40"/>
  <c r="C50" i="30"/>
  <c r="C12" i="21"/>
  <c r="K127" i="21"/>
  <c r="N379" i="40"/>
  <c r="N360" i="40"/>
  <c r="F123" i="30"/>
  <c r="H138" i="40"/>
  <c r="G136" i="21"/>
  <c r="Q571" i="40"/>
  <c r="M50" i="30"/>
  <c r="F65" i="30"/>
  <c r="G65" i="30"/>
  <c r="H65" i="30"/>
  <c r="H78" i="40"/>
  <c r="I650" i="40"/>
  <c r="J650" i="40"/>
  <c r="K650" i="40"/>
  <c r="H597" i="40"/>
  <c r="K531" i="40"/>
  <c r="I203" i="40"/>
  <c r="J203" i="40"/>
  <c r="K203" i="40"/>
  <c r="E119" i="30"/>
  <c r="F119" i="30"/>
  <c r="C22" i="30" l="1"/>
  <c r="C10" i="30" s="1"/>
  <c r="E30" i="16"/>
  <c r="C10" i="21"/>
  <c r="C8" i="21" s="1"/>
  <c r="D30" i="16"/>
  <c r="F780" i="40"/>
  <c r="F813" i="40" s="1"/>
  <c r="E31" i="21"/>
  <c r="C8" i="30" l="1"/>
  <c r="D31" i="16"/>
  <c r="D32" i="16" s="1"/>
  <c r="D36" i="16" s="1"/>
  <c r="D40" i="16" s="1"/>
  <c r="L675" i="40"/>
  <c r="L655" i="40"/>
  <c r="L646" i="40"/>
  <c r="E79" i="30"/>
  <c r="F79" i="30"/>
  <c r="H79" i="30"/>
  <c r="F78" i="30"/>
  <c r="G78" i="30"/>
  <c r="H78" i="30"/>
  <c r="E71" i="30"/>
  <c r="F71" i="30"/>
  <c r="G71" i="30"/>
  <c r="H71" i="30"/>
  <c r="I71" i="30"/>
  <c r="F73" i="30"/>
  <c r="G73" i="30"/>
  <c r="H73" i="30"/>
  <c r="H133" i="30" l="1"/>
  <c r="G133" i="30"/>
  <c r="F133" i="30"/>
  <c r="D133" i="30"/>
  <c r="E44" i="30"/>
  <c r="F44" i="30"/>
  <c r="G44" i="30"/>
  <c r="H44" i="30"/>
  <c r="F16" i="30"/>
  <c r="G16" i="30"/>
  <c r="D15" i="30"/>
  <c r="E84" i="30"/>
  <c r="F84" i="30"/>
  <c r="G84" i="30"/>
  <c r="H84" i="30"/>
  <c r="E87" i="30"/>
  <c r="F87" i="30"/>
  <c r="G87" i="30"/>
  <c r="H87" i="30"/>
  <c r="I494" i="40"/>
  <c r="J494" i="40"/>
  <c r="K494" i="40"/>
  <c r="M494" i="40"/>
  <c r="N494" i="40"/>
  <c r="I489" i="40"/>
  <c r="J489" i="40"/>
  <c r="K489" i="40"/>
  <c r="M489" i="40"/>
  <c r="N489" i="40"/>
  <c r="H489" i="40"/>
  <c r="L753" i="40"/>
  <c r="L754" i="40"/>
  <c r="D71" i="30"/>
  <c r="L71" i="30" s="1"/>
  <c r="K77" i="40"/>
  <c r="J77" i="40"/>
  <c r="I77" i="40"/>
  <c r="D145" i="30"/>
  <c r="D114" i="30"/>
  <c r="D139" i="30"/>
  <c r="D137" i="30"/>
  <c r="D136" i="30"/>
  <c r="D135" i="30"/>
  <c r="D132" i="30"/>
  <c r="D131" i="30"/>
  <c r="D124" i="30"/>
  <c r="D122" i="30"/>
  <c r="D120" i="30"/>
  <c r="D110" i="30"/>
  <c r="D109" i="30"/>
  <c r="D108" i="30"/>
  <c r="D98" i="30"/>
  <c r="D96" i="30"/>
  <c r="D86" i="30"/>
  <c r="D80" i="30"/>
  <c r="D75" i="30"/>
  <c r="D72" i="30"/>
  <c r="D70" i="30"/>
  <c r="D69" i="30"/>
  <c r="D68" i="30"/>
  <c r="D66" i="30"/>
  <c r="D63" i="30"/>
  <c r="D61" i="30"/>
  <c r="D59" i="30"/>
  <c r="D58" i="30"/>
  <c r="D54" i="30"/>
  <c r="D47" i="30"/>
  <c r="D46" i="30"/>
  <c r="D43" i="30"/>
  <c r="D38" i="30"/>
  <c r="D34" i="30"/>
  <c r="D30" i="30"/>
  <c r="E79" i="21"/>
  <c r="I87" i="30" l="1"/>
  <c r="L87" i="30" s="1"/>
  <c r="D32" i="41"/>
  <c r="I84" i="30"/>
  <c r="L84" i="30" s="1"/>
  <c r="L756" i="40"/>
  <c r="F20" i="48" s="1"/>
  <c r="D85" i="30"/>
  <c r="H25" i="40" l="1"/>
  <c r="L27" i="40"/>
  <c r="H785" i="40" l="1"/>
  <c r="H695" i="40"/>
  <c r="H501" i="40"/>
  <c r="H469" i="40"/>
  <c r="G144" i="30" l="1"/>
  <c r="H144" i="30"/>
  <c r="E144" i="30"/>
  <c r="E19" i="30"/>
  <c r="E14" i="30"/>
  <c r="E13" i="30" l="1"/>
  <c r="P326" i="40" l="1"/>
  <c r="M602" i="40" l="1"/>
  <c r="N602" i="40"/>
  <c r="G602" i="40"/>
  <c r="K448" i="40"/>
  <c r="J448" i="40"/>
  <c r="I448" i="40"/>
  <c r="G804" i="40" l="1"/>
  <c r="G805" i="40" s="1"/>
  <c r="G798" i="40"/>
  <c r="G796" i="40" s="1"/>
  <c r="G792" i="40"/>
  <c r="G789" i="40"/>
  <c r="D20" i="30" s="1"/>
  <c r="G788" i="40"/>
  <c r="G786" i="40"/>
  <c r="G707" i="40"/>
  <c r="G705" i="40" s="1"/>
  <c r="G701" i="40"/>
  <c r="G698" i="40"/>
  <c r="G696" i="40"/>
  <c r="G686" i="40"/>
  <c r="G669" i="40"/>
  <c r="G667" i="40"/>
  <c r="G665" i="40"/>
  <c r="G659" i="40"/>
  <c r="D36" i="30" s="1"/>
  <c r="G647" i="40"/>
  <c r="D31" i="30" s="1"/>
  <c r="G644" i="40"/>
  <c r="G639" i="40" s="1"/>
  <c r="D16" i="30"/>
  <c r="G633" i="40"/>
  <c r="G622" i="40"/>
  <c r="G592" i="40"/>
  <c r="D79" i="30" s="1"/>
  <c r="G587" i="40"/>
  <c r="D48" i="30" s="1"/>
  <c r="G569" i="40"/>
  <c r="G556" i="40"/>
  <c r="G553" i="40"/>
  <c r="G546" i="40"/>
  <c r="G540" i="40"/>
  <c r="G522" i="40"/>
  <c r="D118" i="30" s="1"/>
  <c r="G516" i="40"/>
  <c r="G512" i="40" s="1"/>
  <c r="G507" i="40"/>
  <c r="G506" i="40"/>
  <c r="G502" i="40"/>
  <c r="G494" i="40"/>
  <c r="G489" i="40"/>
  <c r="G480" i="40"/>
  <c r="G476" i="40"/>
  <c r="G475" i="40" s="1"/>
  <c r="G470" i="40"/>
  <c r="G449" i="40"/>
  <c r="G448" i="40" s="1"/>
  <c r="D83" i="30" s="1"/>
  <c r="D81" i="30" s="1"/>
  <c r="G442" i="40"/>
  <c r="G439" i="40"/>
  <c r="G433" i="40"/>
  <c r="G428" i="40"/>
  <c r="G403" i="40"/>
  <c r="G392" i="40"/>
  <c r="G391" i="40"/>
  <c r="G375" i="40"/>
  <c r="G360" i="40"/>
  <c r="G350" i="40"/>
  <c r="G342" i="40"/>
  <c r="G334" i="40"/>
  <c r="G331" i="40"/>
  <c r="G315" i="40"/>
  <c r="G749" i="40"/>
  <c r="G746" i="40" s="1"/>
  <c r="G302" i="40"/>
  <c r="G300" i="40" s="1"/>
  <c r="G744" i="40"/>
  <c r="G743" i="40"/>
  <c r="G741" i="40"/>
  <c r="D37" i="30"/>
  <c r="G733" i="40"/>
  <c r="G296" i="40"/>
  <c r="G295" i="40" s="1"/>
  <c r="G725" i="40"/>
  <c r="G290" i="40"/>
  <c r="G281" i="40"/>
  <c r="G271" i="40"/>
  <c r="G262" i="40"/>
  <c r="D65" i="30" s="1"/>
  <c r="G259" i="40"/>
  <c r="G255" i="40"/>
  <c r="G253" i="40"/>
  <c r="G251" i="40"/>
  <c r="G249" i="40"/>
  <c r="G247" i="40"/>
  <c r="G246" i="40"/>
  <c r="G243" i="40"/>
  <c r="G237" i="40"/>
  <c r="D78" i="30" s="1"/>
  <c r="G216" i="40"/>
  <c r="G214" i="40"/>
  <c r="D76" i="30" s="1"/>
  <c r="D77" i="30"/>
  <c r="G205" i="40"/>
  <c r="G195" i="40"/>
  <c r="G186" i="40"/>
  <c r="G183" i="40"/>
  <c r="D52" i="30" s="1"/>
  <c r="G178" i="40"/>
  <c r="G177" i="40"/>
  <c r="G174" i="40"/>
  <c r="G169" i="40"/>
  <c r="G166" i="40"/>
  <c r="G162" i="40"/>
  <c r="D35" i="30" s="1"/>
  <c r="G149" i="40"/>
  <c r="G140" i="40"/>
  <c r="G134" i="40"/>
  <c r="D144" i="30" s="1"/>
  <c r="G132" i="40"/>
  <c r="D112" i="30" s="1"/>
  <c r="G124" i="40"/>
  <c r="G122" i="40"/>
  <c r="G114" i="40"/>
  <c r="G96" i="40"/>
  <c r="G98" i="40" s="1"/>
  <c r="G93" i="40"/>
  <c r="D90" i="30" s="1"/>
  <c r="G92" i="40"/>
  <c r="G86" i="40"/>
  <c r="G77" i="40" s="1"/>
  <c r="G76" i="40"/>
  <c r="G71" i="40"/>
  <c r="G51" i="40"/>
  <c r="G47" i="40"/>
  <c r="G42" i="40"/>
  <c r="G32" i="40"/>
  <c r="G29" i="40"/>
  <c r="G21" i="40"/>
  <c r="D42" i="30" s="1"/>
  <c r="G16" i="40"/>
  <c r="G12" i="40"/>
  <c r="P234" i="40"/>
  <c r="O235" i="40"/>
  <c r="D40" i="30" l="1"/>
  <c r="G163" i="40"/>
  <c r="G567" i="40"/>
  <c r="D55" i="30"/>
  <c r="O232" i="40"/>
  <c r="D25" i="30"/>
  <c r="G724" i="40"/>
  <c r="D99" i="30"/>
  <c r="D95" i="30" s="1"/>
  <c r="D88" i="30"/>
  <c r="G15" i="40"/>
  <c r="G22" i="40" s="1"/>
  <c r="D67" i="30"/>
  <c r="G203" i="40"/>
  <c r="D143" i="30"/>
  <c r="E38" i="16"/>
  <c r="E39" i="16" s="1"/>
  <c r="D44" i="30"/>
  <c r="D23" i="30"/>
  <c r="D57" i="30"/>
  <c r="D39" i="30"/>
  <c r="D33" i="30"/>
  <c r="D121" i="30"/>
  <c r="G120" i="40"/>
  <c r="G126" i="40" s="1"/>
  <c r="D60" i="30"/>
  <c r="D138" i="30"/>
  <c r="D134" i="30"/>
  <c r="D14" i="30"/>
  <c r="D12" i="30" s="1"/>
  <c r="D19" i="30"/>
  <c r="D89" i="30"/>
  <c r="D45" i="30"/>
  <c r="G484" i="40"/>
  <c r="G496" i="40" s="1"/>
  <c r="G552" i="40"/>
  <c r="G173" i="40"/>
  <c r="D53" i="30" s="1"/>
  <c r="G341" i="40"/>
  <c r="G316" i="40" s="1"/>
  <c r="D100" i="30" s="1"/>
  <c r="G732" i="40"/>
  <c r="G731" i="40" s="1"/>
  <c r="G531" i="40"/>
  <c r="G359" i="40"/>
  <c r="G456" i="40"/>
  <c r="G650" i="40"/>
  <c r="G66" i="40"/>
  <c r="G109" i="40"/>
  <c r="G597" i="40"/>
  <c r="G94" i="40"/>
  <c r="G155" i="40"/>
  <c r="D27" i="30" s="1"/>
  <c r="G662" i="40"/>
  <c r="G802" i="40"/>
  <c r="G809" i="40" s="1"/>
  <c r="G739" i="40"/>
  <c r="G437" i="40"/>
  <c r="G446" i="40" s="1"/>
  <c r="G708" i="40"/>
  <c r="G712" i="40" s="1"/>
  <c r="G55" i="40"/>
  <c r="G59" i="40" s="1"/>
  <c r="G248" i="40"/>
  <c r="D64" i="30" s="1"/>
  <c r="G518" i="40"/>
  <c r="D51" i="30" l="1"/>
  <c r="G419" i="40"/>
  <c r="D123" i="30"/>
  <c r="D116" i="30" s="1"/>
  <c r="E34" i="16" s="1"/>
  <c r="E35" i="16" s="1"/>
  <c r="G34" i="40"/>
  <c r="D41" i="30"/>
  <c r="D28" i="30"/>
  <c r="D26" i="30" s="1"/>
  <c r="G727" i="40"/>
  <c r="G751" i="40" s="1"/>
  <c r="G778" i="40" s="1"/>
  <c r="G357" i="40"/>
  <c r="D94" i="30"/>
  <c r="G677" i="40"/>
  <c r="D32" i="30"/>
  <c r="D56" i="30"/>
  <c r="G589" i="40"/>
  <c r="G624" i="40" s="1"/>
  <c r="G172" i="40"/>
  <c r="G267" i="40" s="1"/>
  <c r="G304" i="40"/>
  <c r="G142" i="40"/>
  <c r="G88" i="40"/>
  <c r="G102" i="40" s="1"/>
  <c r="G170" i="40"/>
  <c r="G464" i="40"/>
  <c r="G533" i="40"/>
  <c r="L669" i="40"/>
  <c r="L667" i="40"/>
  <c r="L665" i="40"/>
  <c r="L661" i="40"/>
  <c r="L630" i="40"/>
  <c r="I16" i="30" l="1"/>
  <c r="L16" i="30" s="1"/>
  <c r="G690" i="40"/>
  <c r="G680" i="40"/>
  <c r="D22" i="30"/>
  <c r="I44" i="30"/>
  <c r="L44" i="30" s="1"/>
  <c r="G421" i="40"/>
  <c r="L487" i="40"/>
  <c r="L486" i="40"/>
  <c r="H442" i="40"/>
  <c r="L445" i="40"/>
  <c r="L444" i="40"/>
  <c r="J443" i="40"/>
  <c r="L443" i="40" s="1"/>
  <c r="L458" i="40"/>
  <c r="G11" i="48" s="1"/>
  <c r="L491" i="40"/>
  <c r="L493" i="40"/>
  <c r="M392" i="40"/>
  <c r="N392" i="40"/>
  <c r="G122" i="21"/>
  <c r="F122" i="21"/>
  <c r="E122" i="21"/>
  <c r="L494" i="40" l="1"/>
  <c r="H12" i="48"/>
  <c r="L442" i="40"/>
  <c r="I414" i="40" l="1"/>
  <c r="K392" i="40" l="1"/>
  <c r="N25" i="40"/>
  <c r="K54" i="30" s="1"/>
  <c r="J83" i="41" l="1"/>
  <c r="J74" i="41" s="1"/>
  <c r="J70" i="41"/>
  <c r="J66" i="41"/>
  <c r="J62" i="41"/>
  <c r="J61" i="41"/>
  <c r="J60" i="41"/>
  <c r="J59" i="41"/>
  <c r="J51" i="41"/>
  <c r="J50" i="41"/>
  <c r="J48" i="41"/>
  <c r="J46" i="41"/>
  <c r="J42" i="41"/>
  <c r="J40" i="41"/>
  <c r="J38" i="41"/>
  <c r="J36" i="41"/>
  <c r="J34" i="41"/>
  <c r="J31" i="41"/>
  <c r="J28" i="41"/>
  <c r="J20" i="41"/>
  <c r="J16" i="41"/>
  <c r="J14" i="41" s="1"/>
  <c r="J13" i="41"/>
  <c r="J12" i="41"/>
  <c r="J11" i="41"/>
  <c r="J8" i="41"/>
  <c r="J6" i="41"/>
  <c r="R172" i="40" l="1"/>
  <c r="J58" i="41"/>
  <c r="J65" i="41"/>
  <c r="J44" i="41"/>
  <c r="J5" i="41"/>
  <c r="J37" i="41"/>
  <c r="H24" i="40" l="1"/>
  <c r="H811" i="40"/>
  <c r="I7" i="48" s="1"/>
  <c r="I22" i="48" s="1"/>
  <c r="L413" i="40"/>
  <c r="M396" i="40"/>
  <c r="F64" i="21"/>
  <c r="H64" i="21"/>
  <c r="M281" i="40"/>
  <c r="N281" i="40"/>
  <c r="K281" i="40"/>
  <c r="L455" i="40"/>
  <c r="I456" i="40"/>
  <c r="J456" i="40"/>
  <c r="K456" i="40"/>
  <c r="H270" i="40" l="1"/>
  <c r="L308" i="40"/>
  <c r="N262" i="40"/>
  <c r="K65" i="30" s="1"/>
  <c r="M262" i="40"/>
  <c r="J65" i="30" s="1"/>
  <c r="H262" i="40"/>
  <c r="L261" i="40"/>
  <c r="L260" i="40"/>
  <c r="N259" i="40"/>
  <c r="M259" i="40"/>
  <c r="H259" i="40"/>
  <c r="L259" i="40" s="1"/>
  <c r="L258" i="40"/>
  <c r="L257" i="40"/>
  <c r="L256" i="40"/>
  <c r="N255" i="40"/>
  <c r="M255" i="40"/>
  <c r="H255" i="40"/>
  <c r="L255" i="40" s="1"/>
  <c r="L254" i="40"/>
  <c r="N253" i="40"/>
  <c r="M253" i="40"/>
  <c r="H253" i="40"/>
  <c r="L253" i="40" s="1"/>
  <c r="L252" i="40"/>
  <c r="N251" i="40"/>
  <c r="M251" i="40"/>
  <c r="H251" i="40"/>
  <c r="L251" i="40" s="1"/>
  <c r="L250" i="40"/>
  <c r="N249" i="40"/>
  <c r="M249" i="40"/>
  <c r="H249" i="40"/>
  <c r="L249" i="40" s="1"/>
  <c r="K248" i="40"/>
  <c r="J248" i="40"/>
  <c r="I248" i="40"/>
  <c r="K247" i="40"/>
  <c r="L247" i="40" s="1"/>
  <c r="N246" i="40"/>
  <c r="K57" i="30" s="1"/>
  <c r="K56" i="30" s="1"/>
  <c r="M246" i="40"/>
  <c r="J57" i="30" s="1"/>
  <c r="K246" i="40"/>
  <c r="L246" i="40" s="1"/>
  <c r="L245" i="40"/>
  <c r="K244" i="40"/>
  <c r="L244" i="40" s="1"/>
  <c r="K243" i="40"/>
  <c r="K242" i="40"/>
  <c r="L241" i="40"/>
  <c r="N811" i="40"/>
  <c r="K114" i="30" s="1"/>
  <c r="M811" i="40"/>
  <c r="J114" i="30" s="1"/>
  <c r="L811" i="40"/>
  <c r="L807" i="40"/>
  <c r="H21" i="48" s="1"/>
  <c r="N805" i="40"/>
  <c r="K805" i="40"/>
  <c r="H88" i="30" s="1"/>
  <c r="H805" i="40"/>
  <c r="M804" i="40"/>
  <c r="M805" i="40" s="1"/>
  <c r="J804" i="40"/>
  <c r="J805" i="40" s="1"/>
  <c r="G88" i="30" s="1"/>
  <c r="I804" i="40"/>
  <c r="L801" i="40"/>
  <c r="N800" i="40"/>
  <c r="M800" i="40"/>
  <c r="H800" i="40"/>
  <c r="L800" i="40" s="1"/>
  <c r="N799" i="40"/>
  <c r="M799" i="40"/>
  <c r="H799" i="40"/>
  <c r="L799" i="40" s="1"/>
  <c r="N798" i="40"/>
  <c r="M798" i="40"/>
  <c r="H798" i="40"/>
  <c r="L798" i="40" s="1"/>
  <c r="L797" i="40"/>
  <c r="K796" i="40"/>
  <c r="J796" i="40"/>
  <c r="I796" i="40"/>
  <c r="L795" i="40"/>
  <c r="H794" i="40"/>
  <c r="L794" i="40" s="1"/>
  <c r="L793" i="40"/>
  <c r="N792" i="40"/>
  <c r="M792" i="40"/>
  <c r="K792" i="40"/>
  <c r="K802" i="40" s="1"/>
  <c r="J792" i="40"/>
  <c r="J802" i="40" s="1"/>
  <c r="I792" i="40"/>
  <c r="I802" i="40" s="1"/>
  <c r="L791" i="40"/>
  <c r="H789" i="40"/>
  <c r="N788" i="40"/>
  <c r="M788" i="40"/>
  <c r="L788" i="40"/>
  <c r="N786" i="40"/>
  <c r="M786" i="40"/>
  <c r="K786" i="40"/>
  <c r="J786" i="40"/>
  <c r="I786" i="40"/>
  <c r="L785" i="40"/>
  <c r="L710" i="40"/>
  <c r="H19" i="48" s="1"/>
  <c r="L707" i="40"/>
  <c r="L706" i="40"/>
  <c r="N705" i="40"/>
  <c r="M705" i="40"/>
  <c r="K705" i="40"/>
  <c r="J705" i="40"/>
  <c r="I705" i="40"/>
  <c r="L704" i="40"/>
  <c r="H703" i="40"/>
  <c r="L703" i="40" s="1"/>
  <c r="L702" i="40"/>
  <c r="N701" i="40"/>
  <c r="N708" i="40" s="1"/>
  <c r="M701" i="40"/>
  <c r="K701" i="40"/>
  <c r="K708" i="40" s="1"/>
  <c r="J701" i="40"/>
  <c r="J708" i="40" s="1"/>
  <c r="I701" i="40"/>
  <c r="I708" i="40" s="1"/>
  <c r="L700" i="40"/>
  <c r="N698" i="40"/>
  <c r="M698" i="40"/>
  <c r="L698" i="40"/>
  <c r="N696" i="40"/>
  <c r="M696" i="40"/>
  <c r="K696" i="40"/>
  <c r="J696" i="40"/>
  <c r="I696" i="40"/>
  <c r="L695" i="40"/>
  <c r="K686" i="40"/>
  <c r="J686" i="40"/>
  <c r="I686" i="40"/>
  <c r="L685" i="40"/>
  <c r="L684" i="40"/>
  <c r="L683" i="40"/>
  <c r="N686" i="40"/>
  <c r="M686" i="40"/>
  <c r="L674" i="40"/>
  <c r="L672" i="40"/>
  <c r="L671" i="40"/>
  <c r="N664" i="40"/>
  <c r="N662" i="40" s="1"/>
  <c r="M664" i="40"/>
  <c r="M662" i="40" s="1"/>
  <c r="L664" i="40"/>
  <c r="L663" i="40"/>
  <c r="L660" i="40"/>
  <c r="N650" i="40"/>
  <c r="L659" i="40"/>
  <c r="H658" i="40"/>
  <c r="L658" i="40" s="1"/>
  <c r="L657" i="40"/>
  <c r="L656" i="40"/>
  <c r="H654" i="40"/>
  <c r="E34" i="30" s="1"/>
  <c r="L653" i="40"/>
  <c r="L652" i="40"/>
  <c r="L651" i="40"/>
  <c r="L649" i="40"/>
  <c r="L648" i="40"/>
  <c r="K647" i="40"/>
  <c r="J647" i="40"/>
  <c r="I647" i="40"/>
  <c r="H647" i="40"/>
  <c r="N645" i="40"/>
  <c r="M645" i="40"/>
  <c r="H645" i="40"/>
  <c r="L645" i="40" s="1"/>
  <c r="M644" i="40"/>
  <c r="L644" i="40"/>
  <c r="M643" i="40"/>
  <c r="H643" i="40"/>
  <c r="L641" i="40"/>
  <c r="N640" i="40"/>
  <c r="N639" i="40" s="1"/>
  <c r="M640" i="40"/>
  <c r="L640" i="40"/>
  <c r="L638" i="40"/>
  <c r="L637" i="40"/>
  <c r="L635" i="40"/>
  <c r="K633" i="40"/>
  <c r="J633" i="40"/>
  <c r="I633" i="40"/>
  <c r="H632" i="40"/>
  <c r="L632" i="40" s="1"/>
  <c r="L629" i="40"/>
  <c r="N633" i="40"/>
  <c r="I622" i="40"/>
  <c r="H621" i="40"/>
  <c r="L621" i="40" s="1"/>
  <c r="N620" i="40"/>
  <c r="M620" i="40"/>
  <c r="M622" i="40" s="1"/>
  <c r="L619" i="40"/>
  <c r="L618" i="40"/>
  <c r="L617" i="40"/>
  <c r="L616" i="40"/>
  <c r="J615" i="40"/>
  <c r="L615" i="40" s="1"/>
  <c r="L614" i="40"/>
  <c r="L613" i="40"/>
  <c r="L612" i="40"/>
  <c r="L611" i="40"/>
  <c r="L610" i="40"/>
  <c r="L608" i="40"/>
  <c r="K607" i="40"/>
  <c r="K622" i="40" s="1"/>
  <c r="L606" i="40"/>
  <c r="L605" i="40"/>
  <c r="K602" i="40"/>
  <c r="J602" i="40"/>
  <c r="I602" i="40"/>
  <c r="H602" i="40"/>
  <c r="L601" i="40"/>
  <c r="L600" i="40"/>
  <c r="L599" i="40"/>
  <c r="K597" i="40"/>
  <c r="I597" i="40"/>
  <c r="L596" i="40"/>
  <c r="L595" i="40"/>
  <c r="L594" i="40"/>
  <c r="N593" i="40"/>
  <c r="M593" i="40"/>
  <c r="L593" i="40"/>
  <c r="N592" i="40"/>
  <c r="M592" i="40"/>
  <c r="J592" i="40"/>
  <c r="L591" i="40"/>
  <c r="L588" i="40"/>
  <c r="N587" i="40"/>
  <c r="K48" i="30" s="1"/>
  <c r="M587" i="40"/>
  <c r="H587" i="40"/>
  <c r="H567" i="40" s="1"/>
  <c r="L585" i="40"/>
  <c r="E16" i="48" s="1"/>
  <c r="L582" i="40"/>
  <c r="L581" i="40"/>
  <c r="L580" i="40"/>
  <c r="L579" i="40"/>
  <c r="L578" i="40"/>
  <c r="N577" i="40"/>
  <c r="K46" i="30" s="1"/>
  <c r="M577" i="40"/>
  <c r="L576" i="40"/>
  <c r="L575" i="40"/>
  <c r="L574" i="40"/>
  <c r="L573" i="40"/>
  <c r="L572" i="40"/>
  <c r="L571" i="40"/>
  <c r="L570" i="40"/>
  <c r="L568" i="40"/>
  <c r="N566" i="40"/>
  <c r="M566" i="40"/>
  <c r="L566" i="40"/>
  <c r="N565" i="40"/>
  <c r="M565" i="40"/>
  <c r="L565" i="40"/>
  <c r="K564" i="40"/>
  <c r="H40" i="30" s="1"/>
  <c r="J564" i="40"/>
  <c r="G40" i="30" s="1"/>
  <c r="I564" i="40"/>
  <c r="F40" i="30" s="1"/>
  <c r="L563" i="40"/>
  <c r="L562" i="40"/>
  <c r="N561" i="40"/>
  <c r="M561" i="40"/>
  <c r="K561" i="40"/>
  <c r="K560" i="40" s="1"/>
  <c r="H561" i="40"/>
  <c r="J560" i="40"/>
  <c r="I560" i="40"/>
  <c r="L559" i="40"/>
  <c r="L558" i="40"/>
  <c r="N557" i="40"/>
  <c r="K30" i="30" s="1"/>
  <c r="M557" i="40"/>
  <c r="N556" i="40"/>
  <c r="M556" i="40"/>
  <c r="H556" i="40"/>
  <c r="L556" i="40" s="1"/>
  <c r="L555" i="40"/>
  <c r="L554" i="40"/>
  <c r="L553" i="40"/>
  <c r="K552" i="40"/>
  <c r="H29" i="30" s="1"/>
  <c r="I552" i="40"/>
  <c r="F29" i="30" s="1"/>
  <c r="L551" i="40"/>
  <c r="H550" i="40"/>
  <c r="L550" i="40" s="1"/>
  <c r="L549" i="40"/>
  <c r="L548" i="40"/>
  <c r="L547" i="40"/>
  <c r="N546" i="40"/>
  <c r="M546" i="40"/>
  <c r="K546" i="40"/>
  <c r="J546" i="40"/>
  <c r="I546" i="40"/>
  <c r="L545" i="40"/>
  <c r="L544" i="40"/>
  <c r="N540" i="40"/>
  <c r="M540" i="40"/>
  <c r="K540" i="40"/>
  <c r="J540" i="40"/>
  <c r="I540" i="40"/>
  <c r="L539" i="40"/>
  <c r="L538" i="40"/>
  <c r="L530" i="40"/>
  <c r="N529" i="40"/>
  <c r="K132" i="30" s="1"/>
  <c r="L529" i="40"/>
  <c r="L528" i="40"/>
  <c r="L527" i="40"/>
  <c r="L526" i="40"/>
  <c r="L525" i="40"/>
  <c r="L524" i="40"/>
  <c r="L523" i="40"/>
  <c r="N522" i="40"/>
  <c r="K118" i="30" s="1"/>
  <c r="M522" i="40"/>
  <c r="J522" i="40"/>
  <c r="J531" i="40" s="1"/>
  <c r="I522" i="40"/>
  <c r="I531" i="40" s="1"/>
  <c r="L520" i="40"/>
  <c r="F13" i="48" s="1"/>
  <c r="H517" i="40"/>
  <c r="L517" i="40" s="1"/>
  <c r="N516" i="40"/>
  <c r="N512" i="40" s="1"/>
  <c r="M516" i="40"/>
  <c r="M512" i="40" s="1"/>
  <c r="H516" i="40"/>
  <c r="L516" i="40" s="1"/>
  <c r="H515" i="40"/>
  <c r="L515" i="40" s="1"/>
  <c r="L514" i="40"/>
  <c r="L513" i="40"/>
  <c r="K512" i="40"/>
  <c r="J512" i="40"/>
  <c r="I512" i="40"/>
  <c r="L510" i="40"/>
  <c r="H509" i="40"/>
  <c r="L509" i="40" s="1"/>
  <c r="L508" i="40"/>
  <c r="N507" i="40"/>
  <c r="M507" i="40"/>
  <c r="K507" i="40"/>
  <c r="K518" i="40" s="1"/>
  <c r="J507" i="40"/>
  <c r="J518" i="40" s="1"/>
  <c r="I507" i="40"/>
  <c r="N506" i="40"/>
  <c r="K23" i="30" s="1"/>
  <c r="M506" i="40"/>
  <c r="J23" i="30" s="1"/>
  <c r="H506" i="40"/>
  <c r="K502" i="40"/>
  <c r="J502" i="40"/>
  <c r="I502" i="40"/>
  <c r="L501" i="40"/>
  <c r="N500" i="40"/>
  <c r="M500" i="40"/>
  <c r="M502" i="40" s="1"/>
  <c r="L504" i="40"/>
  <c r="L488" i="40"/>
  <c r="L489" i="40" s="1"/>
  <c r="F12" i="48" s="1"/>
  <c r="L483" i="40"/>
  <c r="N482" i="40"/>
  <c r="N480" i="40" s="1"/>
  <c r="M482" i="40"/>
  <c r="M480" i="40" s="1"/>
  <c r="H482" i="40"/>
  <c r="L482" i="40" s="1"/>
  <c r="L481" i="40"/>
  <c r="K480" i="40"/>
  <c r="J480" i="40"/>
  <c r="I480" i="40"/>
  <c r="N479" i="40"/>
  <c r="M479" i="40"/>
  <c r="H479" i="40"/>
  <c r="L479" i="40" s="1"/>
  <c r="H478" i="40"/>
  <c r="L478" i="40" s="1"/>
  <c r="N477" i="40"/>
  <c r="N476" i="40" s="1"/>
  <c r="N475" i="40" s="1"/>
  <c r="M477" i="40"/>
  <c r="M476" i="40" s="1"/>
  <c r="M475" i="40" s="1"/>
  <c r="L477" i="40"/>
  <c r="K476" i="40"/>
  <c r="K475" i="40" s="1"/>
  <c r="K484" i="40" s="1"/>
  <c r="J476" i="40"/>
  <c r="J475" i="40" s="1"/>
  <c r="I476" i="40"/>
  <c r="I475" i="40" s="1"/>
  <c r="H474" i="40"/>
  <c r="L474" i="40" s="1"/>
  <c r="N472" i="40"/>
  <c r="K470" i="40"/>
  <c r="J470" i="40"/>
  <c r="I470" i="40"/>
  <c r="N469" i="40"/>
  <c r="M469" i="40"/>
  <c r="M470" i="40" s="1"/>
  <c r="L469" i="40"/>
  <c r="L468" i="40"/>
  <c r="H460" i="40"/>
  <c r="L460" i="40" s="1"/>
  <c r="L441" i="40"/>
  <c r="L440" i="40"/>
  <c r="N439" i="40"/>
  <c r="N437" i="40" s="1"/>
  <c r="M439" i="40"/>
  <c r="M437" i="40" s="1"/>
  <c r="H439" i="40"/>
  <c r="L439" i="40" s="1"/>
  <c r="L438" i="40"/>
  <c r="J437" i="40"/>
  <c r="I437" i="40"/>
  <c r="L436" i="40"/>
  <c r="L435" i="40"/>
  <c r="L434" i="40"/>
  <c r="N433" i="40"/>
  <c r="M433" i="40"/>
  <c r="K433" i="40"/>
  <c r="J433" i="40"/>
  <c r="J446" i="40" s="1"/>
  <c r="I433" i="40"/>
  <c r="I446" i="40" s="1"/>
  <c r="L432" i="40"/>
  <c r="N428" i="40"/>
  <c r="M428" i="40"/>
  <c r="K428" i="40"/>
  <c r="J428" i="40"/>
  <c r="I428" i="40"/>
  <c r="L426" i="40"/>
  <c r="J772" i="40"/>
  <c r="J776" i="40" s="1"/>
  <c r="L773" i="40"/>
  <c r="L774" i="40"/>
  <c r="H417" i="40"/>
  <c r="L417" i="40" s="1"/>
  <c r="L418" i="40"/>
  <c r="L775" i="40"/>
  <c r="H359" i="40"/>
  <c r="E123" i="30" s="1"/>
  <c r="M360" i="40"/>
  <c r="L361" i="40"/>
  <c r="L364" i="40"/>
  <c r="L368" i="40"/>
  <c r="M368" i="40"/>
  <c r="N368" i="40"/>
  <c r="I359" i="40"/>
  <c r="L374" i="40"/>
  <c r="J375" i="40"/>
  <c r="L375" i="40" s="1"/>
  <c r="M375" i="40"/>
  <c r="L376" i="40"/>
  <c r="M376" i="40"/>
  <c r="N376" i="40"/>
  <c r="L378" i="40"/>
  <c r="M379" i="40"/>
  <c r="J380" i="40"/>
  <c r="L381" i="40"/>
  <c r="L383" i="40"/>
  <c r="L384" i="40"/>
  <c r="L385" i="40"/>
  <c r="L386" i="40"/>
  <c r="K388" i="40"/>
  <c r="K379" i="40" s="1"/>
  <c r="J389" i="40"/>
  <c r="K389" i="40"/>
  <c r="L390" i="40"/>
  <c r="J391" i="40"/>
  <c r="L391" i="40" s="1"/>
  <c r="J392" i="40"/>
  <c r="K394" i="40"/>
  <c r="M394" i="40"/>
  <c r="J119" i="30" s="1"/>
  <c r="N394" i="40"/>
  <c r="K119" i="30" s="1"/>
  <c r="L395" i="40"/>
  <c r="L397" i="40"/>
  <c r="L398" i="40"/>
  <c r="L399" i="40"/>
  <c r="L400" i="40"/>
  <c r="I402" i="40"/>
  <c r="M402" i="40"/>
  <c r="J120" i="30" s="1"/>
  <c r="H403" i="40"/>
  <c r="I403" i="40"/>
  <c r="K403" i="40"/>
  <c r="L404" i="40"/>
  <c r="L405" i="40"/>
  <c r="L407" i="40"/>
  <c r="L411" i="40"/>
  <c r="L412" i="40"/>
  <c r="M414" i="40"/>
  <c r="N414" i="40"/>
  <c r="K137" i="30" s="1"/>
  <c r="J415" i="40"/>
  <c r="J414" i="40" s="1"/>
  <c r="K415" i="40"/>
  <c r="K414" i="40" s="1"/>
  <c r="M415" i="40"/>
  <c r="N415" i="40"/>
  <c r="L352" i="40"/>
  <c r="L351" i="40"/>
  <c r="J767" i="40"/>
  <c r="M766" i="40"/>
  <c r="J766" i="40"/>
  <c r="N350" i="40"/>
  <c r="K107" i="30" s="1"/>
  <c r="M350" i="40"/>
  <c r="J107" i="30" s="1"/>
  <c r="H349" i="40"/>
  <c r="L349" i="40" s="1"/>
  <c r="L348" i="40"/>
  <c r="J347" i="40"/>
  <c r="L347" i="40" s="1"/>
  <c r="L346" i="40"/>
  <c r="L345" i="40"/>
  <c r="L344" i="40"/>
  <c r="J343" i="40"/>
  <c r="L343" i="40" s="1"/>
  <c r="N342" i="40"/>
  <c r="N341" i="40" s="1"/>
  <c r="M342" i="40"/>
  <c r="M341" i="40" s="1"/>
  <c r="L342" i="40"/>
  <c r="K341" i="40"/>
  <c r="I341" i="40"/>
  <c r="H341" i="40"/>
  <c r="L338" i="40"/>
  <c r="N336" i="40"/>
  <c r="N334" i="40" s="1"/>
  <c r="M336" i="40"/>
  <c r="M334" i="40" s="1"/>
  <c r="L336" i="40"/>
  <c r="L335" i="40"/>
  <c r="J334" i="40"/>
  <c r="N331" i="40"/>
  <c r="M331" i="40"/>
  <c r="L331" i="40"/>
  <c r="L332" i="40"/>
  <c r="L333" i="40"/>
  <c r="N329" i="40"/>
  <c r="M329" i="40"/>
  <c r="L326" i="40"/>
  <c r="L323" i="40"/>
  <c r="L324" i="40"/>
  <c r="N321" i="40"/>
  <c r="M321" i="40"/>
  <c r="L321" i="40"/>
  <c r="L318" i="40"/>
  <c r="L317" i="40"/>
  <c r="N315" i="40"/>
  <c r="K99" i="30" s="1"/>
  <c r="K95" i="30" s="1"/>
  <c r="M315" i="40"/>
  <c r="L314" i="40"/>
  <c r="H750" i="40"/>
  <c r="L750" i="40" s="1"/>
  <c r="N749" i="40"/>
  <c r="N746" i="40" s="1"/>
  <c r="M749" i="40"/>
  <c r="M746" i="40" s="1"/>
  <c r="H749" i="40"/>
  <c r="N302" i="40"/>
  <c r="N300" i="40" s="1"/>
  <c r="M302" i="40"/>
  <c r="M300" i="40" s="1"/>
  <c r="L302" i="40"/>
  <c r="L301" i="40"/>
  <c r="K300" i="40"/>
  <c r="J300" i="40"/>
  <c r="I300" i="40"/>
  <c r="M744" i="40"/>
  <c r="J744" i="40"/>
  <c r="G39" i="30" s="1"/>
  <c r="N743" i="40"/>
  <c r="K39" i="30" s="1"/>
  <c r="M743" i="40"/>
  <c r="J39" i="30" s="1"/>
  <c r="L743" i="40"/>
  <c r="J742" i="40"/>
  <c r="N741" i="40"/>
  <c r="M741" i="40"/>
  <c r="L741" i="40"/>
  <c r="N740" i="40"/>
  <c r="K37" i="30" s="1"/>
  <c r="I739" i="40"/>
  <c r="H739" i="40"/>
  <c r="J738" i="40"/>
  <c r="J737" i="40" s="1"/>
  <c r="H738" i="40"/>
  <c r="L735" i="40"/>
  <c r="L734" i="40"/>
  <c r="N733" i="40"/>
  <c r="N732" i="40" s="1"/>
  <c r="N731" i="40" s="1"/>
  <c r="K28" i="30" s="1"/>
  <c r="M733" i="40"/>
  <c r="M732" i="40" s="1"/>
  <c r="M731" i="40" s="1"/>
  <c r="J733" i="40"/>
  <c r="K732" i="40"/>
  <c r="K731" i="40" s="1"/>
  <c r="K727" i="40" s="1"/>
  <c r="I732" i="40"/>
  <c r="I731" i="40" s="1"/>
  <c r="I727" i="40" s="1"/>
  <c r="H732" i="40"/>
  <c r="H731" i="40" s="1"/>
  <c r="H727" i="40" s="1"/>
  <c r="L298" i="40"/>
  <c r="L297" i="40"/>
  <c r="N296" i="40"/>
  <c r="N295" i="40" s="1"/>
  <c r="M296" i="40"/>
  <c r="M295" i="40" s="1"/>
  <c r="K296" i="40"/>
  <c r="J296" i="40"/>
  <c r="J295" i="40" s="1"/>
  <c r="I296" i="40"/>
  <c r="J726" i="40"/>
  <c r="N725" i="40"/>
  <c r="K25" i="30" s="1"/>
  <c r="M725" i="40"/>
  <c r="L725" i="40"/>
  <c r="K290" i="40"/>
  <c r="J290" i="40"/>
  <c r="I290" i="40"/>
  <c r="H289" i="40"/>
  <c r="N290" i="40"/>
  <c r="M290" i="40"/>
  <c r="L288" i="40"/>
  <c r="L292" i="40"/>
  <c r="L280" i="40"/>
  <c r="J462" i="40"/>
  <c r="L462" i="40" s="1"/>
  <c r="H461" i="40"/>
  <c r="H281" i="40"/>
  <c r="H273" i="40"/>
  <c r="L273" i="40" s="1"/>
  <c r="H272" i="40"/>
  <c r="L263" i="40"/>
  <c r="L454" i="40"/>
  <c r="N453" i="40"/>
  <c r="K86" i="30" s="1"/>
  <c r="K85" i="30" s="1"/>
  <c r="H453" i="40"/>
  <c r="L453" i="40" s="1"/>
  <c r="L452" i="40"/>
  <c r="L451" i="40"/>
  <c r="N449" i="40"/>
  <c r="N448" i="40" s="1"/>
  <c r="K83" i="30" s="1"/>
  <c r="K81" i="30" s="1"/>
  <c r="M449" i="40"/>
  <c r="M448" i="40" s="1"/>
  <c r="J83" i="30" s="1"/>
  <c r="J81" i="30" s="1"/>
  <c r="H449" i="40"/>
  <c r="H448" i="40" s="1"/>
  <c r="L239" i="40"/>
  <c r="N238" i="40"/>
  <c r="M238" i="40"/>
  <c r="L238" i="40"/>
  <c r="N237" i="40"/>
  <c r="M237" i="40"/>
  <c r="H237" i="40"/>
  <c r="L236" i="40"/>
  <c r="L235" i="40"/>
  <c r="L234" i="40"/>
  <c r="L232" i="40"/>
  <c r="L231" i="40"/>
  <c r="L228" i="40"/>
  <c r="L227" i="40"/>
  <c r="L223" i="40"/>
  <c r="H222" i="40"/>
  <c r="H220" i="40" s="1"/>
  <c r="L219" i="40"/>
  <c r="L202" i="40"/>
  <c r="L200" i="40"/>
  <c r="H199" i="40"/>
  <c r="M195" i="40"/>
  <c r="J60" i="30" s="1"/>
  <c r="H195" i="40"/>
  <c r="L195" i="40" s="1"/>
  <c r="H193" i="40"/>
  <c r="L193" i="40" s="1"/>
  <c r="L192" i="40"/>
  <c r="L218" i="40"/>
  <c r="N216" i="40"/>
  <c r="N214" i="40" s="1"/>
  <c r="M216" i="40"/>
  <c r="M214" i="40" s="1"/>
  <c r="L216" i="40"/>
  <c r="L215" i="40"/>
  <c r="L213" i="40"/>
  <c r="L212" i="40"/>
  <c r="N211" i="40"/>
  <c r="M211" i="40"/>
  <c r="L211" i="40"/>
  <c r="N210" i="40"/>
  <c r="K77" i="30" s="1"/>
  <c r="M210" i="40"/>
  <c r="J77" i="30" s="1"/>
  <c r="L210" i="40"/>
  <c r="L208" i="40"/>
  <c r="L207" i="40"/>
  <c r="L206" i="40"/>
  <c r="N205" i="40"/>
  <c r="K67" i="30" s="1"/>
  <c r="M205" i="40"/>
  <c r="J67" i="30" s="1"/>
  <c r="H205" i="40"/>
  <c r="L205" i="40" s="1"/>
  <c r="L190" i="40"/>
  <c r="L188" i="40"/>
  <c r="N186" i="40"/>
  <c r="M186" i="40"/>
  <c r="H186" i="40"/>
  <c r="L186" i="40" s="1"/>
  <c r="L185" i="40"/>
  <c r="L184" i="40"/>
  <c r="K183" i="40"/>
  <c r="J183" i="40"/>
  <c r="I183" i="40"/>
  <c r="L182" i="40"/>
  <c r="N181" i="40"/>
  <c r="M181" i="40"/>
  <c r="H181" i="40"/>
  <c r="L181" i="40" s="1"/>
  <c r="L180" i="40"/>
  <c r="L179" i="40"/>
  <c r="K178" i="40"/>
  <c r="K173" i="40" s="1"/>
  <c r="J178" i="40"/>
  <c r="J173" i="40" s="1"/>
  <c r="I178" i="40"/>
  <c r="I173" i="40" s="1"/>
  <c r="H178" i="40"/>
  <c r="L177" i="40"/>
  <c r="L175" i="40"/>
  <c r="N174" i="40"/>
  <c r="M174" i="40"/>
  <c r="H174" i="40"/>
  <c r="L174" i="40" s="1"/>
  <c r="H307" i="40"/>
  <c r="L307" i="40" s="1"/>
  <c r="N306" i="40"/>
  <c r="K63" i="30" s="1"/>
  <c r="M306" i="40"/>
  <c r="H306" i="40"/>
  <c r="N169" i="40"/>
  <c r="M169" i="40"/>
  <c r="L169" i="40"/>
  <c r="H168" i="40"/>
  <c r="L168" i="40" s="1"/>
  <c r="L167" i="40"/>
  <c r="M166" i="40"/>
  <c r="H166" i="40"/>
  <c r="L166" i="40" s="1"/>
  <c r="N165" i="40"/>
  <c r="M165" i="40"/>
  <c r="H165" i="40"/>
  <c r="L164" i="40"/>
  <c r="N162" i="40"/>
  <c r="K35" i="30" s="1"/>
  <c r="K33" i="30" s="1"/>
  <c r="M162" i="40"/>
  <c r="J35" i="30" s="1"/>
  <c r="H162" i="40"/>
  <c r="L160" i="40"/>
  <c r="H158" i="40"/>
  <c r="L158" i="40" s="1"/>
  <c r="L157" i="40"/>
  <c r="N156" i="40"/>
  <c r="N155" i="40" s="1"/>
  <c r="M156" i="40"/>
  <c r="M155" i="40" s="1"/>
  <c r="K155" i="40"/>
  <c r="K170" i="40" s="1"/>
  <c r="J155" i="40"/>
  <c r="J170" i="40" s="1"/>
  <c r="I155" i="40"/>
  <c r="I170" i="40" s="1"/>
  <c r="L152" i="40"/>
  <c r="N151" i="40"/>
  <c r="M151" i="40"/>
  <c r="N149" i="40"/>
  <c r="K149" i="40"/>
  <c r="J149" i="40"/>
  <c r="I149" i="40"/>
  <c r="L148" i="40"/>
  <c r="M147" i="40"/>
  <c r="M149" i="40" s="1"/>
  <c r="L147" i="40"/>
  <c r="L40" i="40"/>
  <c r="J13" i="30"/>
  <c r="L41" i="40"/>
  <c r="I42" i="40"/>
  <c r="J42" i="40"/>
  <c r="K42" i="40"/>
  <c r="L44" i="40"/>
  <c r="L46" i="40"/>
  <c r="I47" i="40"/>
  <c r="J47" i="40"/>
  <c r="K47" i="40"/>
  <c r="L48" i="40"/>
  <c r="M48" i="40"/>
  <c r="M47" i="40" s="1"/>
  <c r="N48" i="40"/>
  <c r="N47" i="40" s="1"/>
  <c r="H49" i="40"/>
  <c r="H47" i="40" s="1"/>
  <c r="H50" i="40"/>
  <c r="I51" i="40"/>
  <c r="J51" i="40"/>
  <c r="K51" i="40"/>
  <c r="L52" i="40"/>
  <c r="L53" i="40"/>
  <c r="H54" i="40"/>
  <c r="H51" i="40" s="1"/>
  <c r="M54" i="40"/>
  <c r="M51" i="40" s="1"/>
  <c r="N54" i="40"/>
  <c r="N51" i="40" s="1"/>
  <c r="L57" i="40"/>
  <c r="L63" i="40"/>
  <c r="L64" i="40"/>
  <c r="L65" i="40"/>
  <c r="I66" i="40"/>
  <c r="J66" i="40"/>
  <c r="K66" i="40"/>
  <c r="L70" i="40"/>
  <c r="I71" i="40"/>
  <c r="J71" i="40"/>
  <c r="K71" i="40"/>
  <c r="M71" i="40"/>
  <c r="N71" i="40"/>
  <c r="L73" i="40"/>
  <c r="L74" i="40"/>
  <c r="H75" i="40"/>
  <c r="L75" i="40" s="1"/>
  <c r="M75" i="40"/>
  <c r="N75" i="40"/>
  <c r="L76" i="40"/>
  <c r="I88" i="40"/>
  <c r="L78" i="40"/>
  <c r="H79" i="40"/>
  <c r="L80" i="40"/>
  <c r="H81" i="40"/>
  <c r="L81" i="40" s="1"/>
  <c r="L82" i="40"/>
  <c r="L83" i="40"/>
  <c r="L84" i="40"/>
  <c r="L85" i="40"/>
  <c r="H86" i="40"/>
  <c r="L86" i="40" s="1"/>
  <c r="M86" i="40"/>
  <c r="M77" i="40" s="1"/>
  <c r="N86" i="40"/>
  <c r="N77" i="40" s="1"/>
  <c r="H676" i="40"/>
  <c r="H662" i="40" s="1"/>
  <c r="E73" i="30"/>
  <c r="L91" i="40"/>
  <c r="H92" i="40"/>
  <c r="M92" i="40"/>
  <c r="N92" i="40"/>
  <c r="K88" i="30" s="1"/>
  <c r="I94" i="40"/>
  <c r="J94" i="40"/>
  <c r="K94" i="40"/>
  <c r="H96" i="40"/>
  <c r="L96" i="40" s="1"/>
  <c r="M96" i="40"/>
  <c r="M98" i="40" s="1"/>
  <c r="N96" i="40"/>
  <c r="N98" i="40" s="1"/>
  <c r="L97" i="40"/>
  <c r="I98" i="40"/>
  <c r="J98" i="40"/>
  <c r="K98" i="40"/>
  <c r="I100" i="40"/>
  <c r="F145" i="30" s="1"/>
  <c r="L106" i="40"/>
  <c r="M111" i="40"/>
  <c r="L107" i="40"/>
  <c r="L108" i="40"/>
  <c r="I109" i="40"/>
  <c r="J109" i="40"/>
  <c r="K109" i="40"/>
  <c r="N109" i="40"/>
  <c r="N111" i="40"/>
  <c r="L113" i="40"/>
  <c r="I114" i="40"/>
  <c r="J114" i="40"/>
  <c r="K114" i="40"/>
  <c r="M114" i="40"/>
  <c r="N114" i="40"/>
  <c r="H116" i="40"/>
  <c r="L116" i="40" s="1"/>
  <c r="L117" i="40"/>
  <c r="M117" i="40"/>
  <c r="N117" i="40"/>
  <c r="L118" i="40"/>
  <c r="H119" i="40"/>
  <c r="M119" i="40"/>
  <c r="I120" i="40"/>
  <c r="J120" i="40"/>
  <c r="K120" i="40"/>
  <c r="L121" i="40"/>
  <c r="H122" i="40"/>
  <c r="L122" i="40" s="1"/>
  <c r="M122" i="40"/>
  <c r="N122" i="40"/>
  <c r="L123" i="40"/>
  <c r="H124" i="40"/>
  <c r="L124" i="40" s="1"/>
  <c r="M124" i="40"/>
  <c r="N124" i="40"/>
  <c r="L125" i="40"/>
  <c r="L128" i="40"/>
  <c r="L130" i="40"/>
  <c r="M130" i="40"/>
  <c r="M132" i="40" s="1"/>
  <c r="J112" i="30" s="1"/>
  <c r="N130" i="40"/>
  <c r="N132" i="40" s="1"/>
  <c r="K112" i="30" s="1"/>
  <c r="L131" i="40"/>
  <c r="I132" i="40"/>
  <c r="J132" i="40"/>
  <c r="K132" i="40"/>
  <c r="L134" i="40"/>
  <c r="J144" i="30"/>
  <c r="J143" i="30" s="1"/>
  <c r="I135" i="40"/>
  <c r="L137" i="40"/>
  <c r="L138" i="40"/>
  <c r="I140" i="40"/>
  <c r="J140" i="40"/>
  <c r="K140" i="40"/>
  <c r="M140" i="40"/>
  <c r="N140" i="40"/>
  <c r="H11" i="40"/>
  <c r="I12" i="40"/>
  <c r="J12" i="40"/>
  <c r="K12" i="40"/>
  <c r="M12" i="40"/>
  <c r="N12" i="40"/>
  <c r="H12" i="40"/>
  <c r="I15" i="40"/>
  <c r="J15" i="40"/>
  <c r="K15" i="40"/>
  <c r="L16" i="40"/>
  <c r="M16" i="40"/>
  <c r="N16" i="40"/>
  <c r="L17" i="40"/>
  <c r="H18" i="40"/>
  <c r="L18" i="40" s="1"/>
  <c r="M18" i="40"/>
  <c r="J43" i="30" s="1"/>
  <c r="N18" i="40"/>
  <c r="K43" i="30" s="1"/>
  <c r="L19" i="40"/>
  <c r="L20" i="40"/>
  <c r="H21" i="40"/>
  <c r="M21" i="40"/>
  <c r="J42" i="30" s="1"/>
  <c r="N21" i="40"/>
  <c r="K42" i="30" s="1"/>
  <c r="L24" i="40"/>
  <c r="L25" i="40"/>
  <c r="N29" i="40"/>
  <c r="L26" i="40"/>
  <c r="M25" i="40"/>
  <c r="L28" i="40"/>
  <c r="I29" i="40"/>
  <c r="J29" i="40"/>
  <c r="K29" i="40"/>
  <c r="L31" i="40"/>
  <c r="I32" i="40"/>
  <c r="F121" i="30" s="1"/>
  <c r="J32" i="40"/>
  <c r="K32" i="40"/>
  <c r="H121" i="30" s="1"/>
  <c r="M32" i="40"/>
  <c r="N32" i="40"/>
  <c r="I22" i="40" l="1"/>
  <c r="L742" i="40"/>
  <c r="J739" i="40"/>
  <c r="J22" i="40"/>
  <c r="K32" i="30"/>
  <c r="J121" i="30"/>
  <c r="K121" i="30"/>
  <c r="K139" i="30"/>
  <c r="K134" i="30"/>
  <c r="N470" i="40"/>
  <c r="K14" i="30"/>
  <c r="K78" i="30"/>
  <c r="N622" i="40"/>
  <c r="K135" i="30"/>
  <c r="K27" i="30"/>
  <c r="K26" i="30" s="1"/>
  <c r="K76" i="30"/>
  <c r="K79" i="30"/>
  <c r="K22" i="40"/>
  <c r="E107" i="30"/>
  <c r="N504" i="40"/>
  <c r="K19" i="30" s="1"/>
  <c r="K13" i="30"/>
  <c r="K45" i="30"/>
  <c r="K89" i="30"/>
  <c r="L733" i="40"/>
  <c r="J732" i="40"/>
  <c r="J99" i="30"/>
  <c r="J95" i="30" s="1"/>
  <c r="J78" i="30"/>
  <c r="J79" i="30"/>
  <c r="L380" i="40"/>
  <c r="J379" i="40"/>
  <c r="L289" i="40"/>
  <c r="E15" i="30"/>
  <c r="J88" i="30"/>
  <c r="L156" i="40"/>
  <c r="L155" i="40" s="1"/>
  <c r="H155" i="40"/>
  <c r="N727" i="40"/>
  <c r="M768" i="40"/>
  <c r="J110" i="30"/>
  <c r="N531" i="40"/>
  <c r="J45" i="30"/>
  <c r="J89" i="30"/>
  <c r="M309" i="40"/>
  <c r="J63" i="30"/>
  <c r="M724" i="40"/>
  <c r="J25" i="30"/>
  <c r="J14" i="30"/>
  <c r="N309" i="40"/>
  <c r="N724" i="40"/>
  <c r="K24" i="30" s="1"/>
  <c r="J134" i="30"/>
  <c r="J56" i="30"/>
  <c r="M29" i="40"/>
  <c r="J54" i="30"/>
  <c r="N120" i="40"/>
  <c r="J76" i="30"/>
  <c r="M727" i="40"/>
  <c r="J28" i="30"/>
  <c r="I464" i="40"/>
  <c r="M531" i="40"/>
  <c r="J118" i="30"/>
  <c r="N567" i="40"/>
  <c r="L165" i="40"/>
  <c r="H163" i="40"/>
  <c r="M163" i="40"/>
  <c r="M170" i="40" s="1"/>
  <c r="N163" i="40"/>
  <c r="L163" i="40"/>
  <c r="M567" i="40"/>
  <c r="E133" i="30"/>
  <c r="L21" i="40"/>
  <c r="L15" i="40" s="1"/>
  <c r="D5" i="48"/>
  <c r="H119" i="30"/>
  <c r="M446" i="40"/>
  <c r="L643" i="40"/>
  <c r="L639" i="40" s="1"/>
  <c r="H639" i="40"/>
  <c r="D28" i="41"/>
  <c r="L325" i="40"/>
  <c r="L437" i="40"/>
  <c r="M639" i="40"/>
  <c r="J27" i="30" s="1"/>
  <c r="K446" i="40"/>
  <c r="K464" i="40" s="1"/>
  <c r="L587" i="40"/>
  <c r="E88" i="30"/>
  <c r="L789" i="40"/>
  <c r="E20" i="30"/>
  <c r="L243" i="40"/>
  <c r="I57" i="30" s="1"/>
  <c r="L57" i="30" s="1"/>
  <c r="H57" i="30"/>
  <c r="I14" i="30"/>
  <c r="L14" i="30" s="1"/>
  <c r="H309" i="40"/>
  <c r="F10" i="48" s="1"/>
  <c r="K751" i="40"/>
  <c r="K778" i="40" s="1"/>
  <c r="H419" i="40"/>
  <c r="I419" i="40"/>
  <c r="L294" i="40"/>
  <c r="H27" i="30"/>
  <c r="G27" i="30"/>
  <c r="H299" i="40"/>
  <c r="L299" i="40" s="1"/>
  <c r="H737" i="40"/>
  <c r="L737" i="40" s="1"/>
  <c r="L726" i="40"/>
  <c r="J724" i="40"/>
  <c r="G24" i="30" s="1"/>
  <c r="L50" i="40"/>
  <c r="F27" i="30"/>
  <c r="E23" i="30"/>
  <c r="I751" i="40"/>
  <c r="I778" i="40" s="1"/>
  <c r="L749" i="40"/>
  <c r="H746" i="40"/>
  <c r="L746" i="40" s="1"/>
  <c r="J768" i="40"/>
  <c r="L311" i="40"/>
  <c r="H277" i="40"/>
  <c r="I518" i="40"/>
  <c r="I533" i="40" s="1"/>
  <c r="H77" i="40"/>
  <c r="H173" i="40"/>
  <c r="J464" i="40"/>
  <c r="J677" i="40"/>
  <c r="J690" i="40" s="1"/>
  <c r="L506" i="40"/>
  <c r="N173" i="40"/>
  <c r="K53" i="30" s="1"/>
  <c r="K51" i="30" s="1"/>
  <c r="G119" i="30"/>
  <c r="E90" i="30"/>
  <c r="L199" i="40"/>
  <c r="H196" i="40"/>
  <c r="L222" i="40"/>
  <c r="L744" i="40"/>
  <c r="I39" i="30" s="1"/>
  <c r="M518" i="40"/>
  <c r="N518" i="40"/>
  <c r="L183" i="40"/>
  <c r="G79" i="30"/>
  <c r="K677" i="40"/>
  <c r="K690" i="40" s="1"/>
  <c r="M708" i="40"/>
  <c r="M712" i="40" s="1"/>
  <c r="N203" i="40"/>
  <c r="L676" i="40"/>
  <c r="L662" i="40" s="1"/>
  <c r="L11" i="40"/>
  <c r="H146" i="21"/>
  <c r="L162" i="40"/>
  <c r="L620" i="40"/>
  <c r="H17" i="48" s="1"/>
  <c r="K17" i="48" s="1"/>
  <c r="Q572" i="40"/>
  <c r="Q574" i="40" s="1"/>
  <c r="L262" i="40"/>
  <c r="I65" i="30" s="1"/>
  <c r="L65" i="30" s="1"/>
  <c r="E65" i="30"/>
  <c r="L14" i="40"/>
  <c r="L119" i="40"/>
  <c r="L204" i="40"/>
  <c r="H203" i="40"/>
  <c r="L557" i="40"/>
  <c r="L569" i="40"/>
  <c r="L654" i="40"/>
  <c r="I34" i="30" s="1"/>
  <c r="L34" i="30" s="1"/>
  <c r="H650" i="40"/>
  <c r="N677" i="40"/>
  <c r="N690" i="40" s="1"/>
  <c r="E78" i="30"/>
  <c r="I677" i="40"/>
  <c r="I690" i="40" s="1"/>
  <c r="M203" i="40"/>
  <c r="L461" i="40"/>
  <c r="L271" i="40"/>
  <c r="L90" i="40"/>
  <c r="I73" i="30" s="1"/>
  <c r="L73" i="30" s="1"/>
  <c r="L79" i="40"/>
  <c r="L77" i="40" s="1"/>
  <c r="M88" i="40"/>
  <c r="N446" i="40"/>
  <c r="L214" i="40"/>
  <c r="L191" i="40"/>
  <c r="I58" i="30" s="1"/>
  <c r="L237" i="40"/>
  <c r="D34" i="41" s="1"/>
  <c r="H316" i="40"/>
  <c r="H357" i="40" s="1"/>
  <c r="L766" i="40"/>
  <c r="D40" i="41" s="1"/>
  <c r="L225" i="40"/>
  <c r="D61" i="41" s="1"/>
  <c r="L740" i="40"/>
  <c r="L739" i="40" s="1"/>
  <c r="I316" i="40"/>
  <c r="I357" i="40" s="1"/>
  <c r="L350" i="40"/>
  <c r="D43" i="41" s="1"/>
  <c r="L772" i="40"/>
  <c r="D42" i="41" s="1"/>
  <c r="L135" i="40"/>
  <c r="I144" i="30" s="1"/>
  <c r="L144" i="30" s="1"/>
  <c r="F144" i="30"/>
  <c r="L100" i="40"/>
  <c r="I145" i="30" s="1"/>
  <c r="L145" i="30" s="1"/>
  <c r="L93" i="40"/>
  <c r="I90" i="30" s="1"/>
  <c r="L90" i="30" s="1"/>
  <c r="L229" i="40"/>
  <c r="D66" i="41" s="1"/>
  <c r="L767" i="40"/>
  <c r="D38" i="41" s="1"/>
  <c r="L242" i="40"/>
  <c r="J88" i="40"/>
  <c r="J102" i="40" s="1"/>
  <c r="K172" i="40"/>
  <c r="K267" i="40" s="1"/>
  <c r="H98" i="40"/>
  <c r="H7" i="48" s="1"/>
  <c r="K809" i="40"/>
  <c r="M109" i="40"/>
  <c r="I172" i="40"/>
  <c r="I267" i="40" s="1"/>
  <c r="J341" i="40"/>
  <c r="I484" i="40"/>
  <c r="I496" i="40" s="1"/>
  <c r="M564" i="40"/>
  <c r="J40" i="30" s="1"/>
  <c r="H686" i="40"/>
  <c r="L602" i="40"/>
  <c r="E134" i="30"/>
  <c r="N170" i="40"/>
  <c r="J126" i="40"/>
  <c r="J142" i="40" s="1"/>
  <c r="L221" i="40"/>
  <c r="K126" i="40"/>
  <c r="K142" i="40" s="1"/>
  <c r="I126" i="40"/>
  <c r="I142" i="40" s="1"/>
  <c r="L392" i="40"/>
  <c r="N552" i="40"/>
  <c r="K29" i="30" s="1"/>
  <c r="L98" i="40"/>
  <c r="M456" i="40"/>
  <c r="J29" i="41"/>
  <c r="J27" i="41" s="1"/>
  <c r="J4" i="41" s="1"/>
  <c r="L360" i="40"/>
  <c r="K88" i="40"/>
  <c r="K102" i="40" s="1"/>
  <c r="N739" i="40"/>
  <c r="L300" i="40"/>
  <c r="L373" i="40"/>
  <c r="H428" i="40"/>
  <c r="C11" i="48" s="1"/>
  <c r="H433" i="40"/>
  <c r="H437" i="40"/>
  <c r="J484" i="40"/>
  <c r="J496" i="40" s="1"/>
  <c r="N484" i="40"/>
  <c r="N496" i="40" s="1"/>
  <c r="K533" i="40"/>
  <c r="H512" i="40"/>
  <c r="H564" i="40"/>
  <c r="E40" i="30" s="1"/>
  <c r="K589" i="40"/>
  <c r="K624" i="40" s="1"/>
  <c r="H633" i="40"/>
  <c r="C18" i="48" s="1"/>
  <c r="I712" i="40"/>
  <c r="K712" i="40"/>
  <c r="L198" i="40"/>
  <c r="K55" i="40"/>
  <c r="K59" i="40" s="1"/>
  <c r="N456" i="40"/>
  <c r="M484" i="40"/>
  <c r="M496" i="40" s="1"/>
  <c r="I589" i="40"/>
  <c r="I624" i="40" s="1"/>
  <c r="M552" i="40"/>
  <c r="J29" i="30" s="1"/>
  <c r="N564" i="40"/>
  <c r="K40" i="30" s="1"/>
  <c r="M597" i="40"/>
  <c r="J609" i="40"/>
  <c r="L609" i="40" s="1"/>
  <c r="H786" i="40"/>
  <c r="L382" i="40"/>
  <c r="N796" i="40"/>
  <c r="N802" i="40" s="1"/>
  <c r="N809" i="40" s="1"/>
  <c r="N248" i="40"/>
  <c r="K64" i="30" s="1"/>
  <c r="L377" i="40"/>
  <c r="L92" i="40"/>
  <c r="L337" i="40"/>
  <c r="L329" i="40"/>
  <c r="D47" i="41" s="1"/>
  <c r="L449" i="40"/>
  <c r="H456" i="40"/>
  <c r="M316" i="40"/>
  <c r="M357" i="40" s="1"/>
  <c r="L111" i="40"/>
  <c r="L68" i="40"/>
  <c r="N66" i="40"/>
  <c r="L178" i="40"/>
  <c r="M178" i="40" s="1"/>
  <c r="J172" i="40"/>
  <c r="J267" i="40" s="1"/>
  <c r="K316" i="40"/>
  <c r="K357" i="40" s="1"/>
  <c r="H696" i="40"/>
  <c r="C19" i="48" s="1"/>
  <c r="N712" i="40"/>
  <c r="N94" i="40"/>
  <c r="I55" i="40"/>
  <c r="I59" i="40" s="1"/>
  <c r="L682" i="40"/>
  <c r="M248" i="40"/>
  <c r="J64" i="30" s="1"/>
  <c r="L269" i="40"/>
  <c r="L564" i="40"/>
  <c r="I102" i="40"/>
  <c r="M66" i="40"/>
  <c r="L738" i="40"/>
  <c r="L315" i="40"/>
  <c r="L507" i="40"/>
  <c r="M796" i="40"/>
  <c r="M802" i="40" s="1"/>
  <c r="M809" i="40" s="1"/>
  <c r="M94" i="40"/>
  <c r="J55" i="40"/>
  <c r="J59" i="40" s="1"/>
  <c r="M739" i="40"/>
  <c r="L270" i="40"/>
  <c r="H114" i="40"/>
  <c r="H94" i="40"/>
  <c r="F7" i="48" s="1"/>
  <c r="H66" i="40"/>
  <c r="C7" i="48" s="1"/>
  <c r="N42" i="40"/>
  <c r="L410" i="40"/>
  <c r="L396" i="40"/>
  <c r="L367" i="40"/>
  <c r="L470" i="40"/>
  <c r="H476" i="40"/>
  <c r="H475" i="40" s="1"/>
  <c r="H480" i="40"/>
  <c r="L480" i="40" s="1"/>
  <c r="H507" i="40"/>
  <c r="J533" i="40"/>
  <c r="H540" i="40"/>
  <c r="C14" i="48" s="1"/>
  <c r="H546" i="40"/>
  <c r="H552" i="40"/>
  <c r="J552" i="40"/>
  <c r="G29" i="30" s="1"/>
  <c r="L561" i="40"/>
  <c r="G41" i="30"/>
  <c r="L577" i="40"/>
  <c r="J597" i="40"/>
  <c r="L597" i="40" s="1"/>
  <c r="N597" i="40"/>
  <c r="L607" i="40"/>
  <c r="M633" i="40"/>
  <c r="M677" i="40"/>
  <c r="H701" i="40"/>
  <c r="H792" i="40"/>
  <c r="H796" i="40"/>
  <c r="L796" i="40" s="1"/>
  <c r="L804" i="40"/>
  <c r="H248" i="40"/>
  <c r="L248" i="40"/>
  <c r="L388" i="40"/>
  <c r="L476" i="40"/>
  <c r="M42" i="40"/>
  <c r="L792" i="40"/>
  <c r="H296" i="40"/>
  <c r="L296" i="40" s="1"/>
  <c r="L628" i="40"/>
  <c r="L647" i="40"/>
  <c r="L701" i="40"/>
  <c r="H705" i="40"/>
  <c r="L705" i="40" s="1"/>
  <c r="H42" i="40"/>
  <c r="C6" i="48" s="1"/>
  <c r="L512" i="40"/>
  <c r="L592" i="40"/>
  <c r="I79" i="30" s="1"/>
  <c r="L79" i="30" s="1"/>
  <c r="L546" i="40"/>
  <c r="J712" i="40"/>
  <c r="J809" i="40"/>
  <c r="J731" i="40"/>
  <c r="L414" i="40"/>
  <c r="L402" i="40"/>
  <c r="K359" i="40"/>
  <c r="K419" i="40" s="1"/>
  <c r="J359" i="40"/>
  <c r="M359" i="40"/>
  <c r="H470" i="40"/>
  <c r="C12" i="48" s="1"/>
  <c r="L472" i="40"/>
  <c r="K496" i="40"/>
  <c r="L500" i="40"/>
  <c r="N502" i="40"/>
  <c r="N533" i="40" s="1"/>
  <c r="M504" i="40"/>
  <c r="J19" i="30" s="1"/>
  <c r="L522" i="40"/>
  <c r="L537" i="40"/>
  <c r="L542" i="40"/>
  <c r="H560" i="40"/>
  <c r="L560" i="40" s="1"/>
  <c r="L604" i="40"/>
  <c r="H622" i="40"/>
  <c r="L694" i="40"/>
  <c r="L784" i="40"/>
  <c r="I805" i="40"/>
  <c r="F88" i="30" s="1"/>
  <c r="N316" i="40"/>
  <c r="L394" i="40"/>
  <c r="L393" i="40"/>
  <c r="L389" i="40"/>
  <c r="N359" i="40"/>
  <c r="K123" i="30" s="1"/>
  <c r="H502" i="40"/>
  <c r="C13" i="48" s="1"/>
  <c r="J403" i="40"/>
  <c r="L403" i="40" s="1"/>
  <c r="L406" i="40"/>
  <c r="L320" i="40"/>
  <c r="L415" i="40"/>
  <c r="L425" i="40"/>
  <c r="L430" i="40"/>
  <c r="L433" i="40"/>
  <c r="N304" i="40"/>
  <c r="H149" i="40"/>
  <c r="C9" i="48" s="1"/>
  <c r="H290" i="40"/>
  <c r="C10" i="48" s="1"/>
  <c r="I295" i="40"/>
  <c r="I304" i="40" s="1"/>
  <c r="K295" i="40"/>
  <c r="K304" i="40" s="1"/>
  <c r="H140" i="40"/>
  <c r="H8" i="48" s="1"/>
  <c r="L272" i="40"/>
  <c r="D36" i="41" s="1"/>
  <c r="L279" i="40"/>
  <c r="L287" i="40"/>
  <c r="M304" i="40"/>
  <c r="L151" i="40"/>
  <c r="L154" i="40"/>
  <c r="L132" i="40"/>
  <c r="L109" i="40"/>
  <c r="L146" i="40"/>
  <c r="L306" i="40"/>
  <c r="L309" i="40" s="1"/>
  <c r="L66" i="40"/>
  <c r="L49" i="40"/>
  <c r="L140" i="40"/>
  <c r="H132" i="40"/>
  <c r="L13" i="40"/>
  <c r="N126" i="40"/>
  <c r="N142" i="40" s="1"/>
  <c r="H109" i="40"/>
  <c r="C8" i="48" s="1"/>
  <c r="N88" i="40"/>
  <c r="H71" i="40"/>
  <c r="M55" i="40"/>
  <c r="M120" i="40"/>
  <c r="M126" i="40" s="1"/>
  <c r="H120" i="40"/>
  <c r="L120" i="40"/>
  <c r="L54" i="40"/>
  <c r="N55" i="40"/>
  <c r="L42" i="40"/>
  <c r="H55" i="40"/>
  <c r="E6" i="48" s="1"/>
  <c r="H32" i="40"/>
  <c r="L29" i="40"/>
  <c r="N15" i="40"/>
  <c r="L115" i="40"/>
  <c r="M15" i="40"/>
  <c r="H15" i="40"/>
  <c r="H22" i="40" s="1"/>
  <c r="L72" i="40"/>
  <c r="L12" i="40"/>
  <c r="H29" i="40"/>
  <c r="F5" i="48" s="1"/>
  <c r="K41" i="30" l="1"/>
  <c r="M464" i="40"/>
  <c r="K62" i="30"/>
  <c r="I40" i="30"/>
  <c r="L40" i="30" s="1"/>
  <c r="K22" i="30"/>
  <c r="N357" i="40"/>
  <c r="K100" i="30"/>
  <c r="J41" i="30"/>
  <c r="L39" i="30"/>
  <c r="H5" i="48"/>
  <c r="E121" i="30"/>
  <c r="M22" i="40"/>
  <c r="M34" i="40" s="1"/>
  <c r="G121" i="30"/>
  <c r="N22" i="40"/>
  <c r="N34" i="40" s="1"/>
  <c r="I107" i="30"/>
  <c r="L107" i="30" s="1"/>
  <c r="I20" i="30"/>
  <c r="L20" i="30" s="1"/>
  <c r="J100" i="30"/>
  <c r="J26" i="30"/>
  <c r="J62" i="30"/>
  <c r="N751" i="40"/>
  <c r="N778" i="40" s="1"/>
  <c r="N419" i="40"/>
  <c r="M419" i="40"/>
  <c r="J123" i="30"/>
  <c r="J24" i="30"/>
  <c r="M751" i="40"/>
  <c r="M778" i="40" s="1"/>
  <c r="D12" i="41"/>
  <c r="J8" i="48"/>
  <c r="J22" i="48" s="1"/>
  <c r="D70" i="41"/>
  <c r="D65" i="41" s="1"/>
  <c r="I76" i="30"/>
  <c r="L76" i="30" s="1"/>
  <c r="I35" i="30"/>
  <c r="E35" i="30"/>
  <c r="D13" i="41"/>
  <c r="L567" i="40"/>
  <c r="G15" i="48"/>
  <c r="G16" i="48"/>
  <c r="K16" i="48" s="1"/>
  <c r="G14" i="48"/>
  <c r="D37" i="41"/>
  <c r="L552" i="40"/>
  <c r="I29" i="30" s="1"/>
  <c r="L29" i="30" s="1"/>
  <c r="E15" i="48"/>
  <c r="K6" i="48"/>
  <c r="F15" i="48"/>
  <c r="F14" i="48"/>
  <c r="D22" i="48"/>
  <c r="I133" i="30"/>
  <c r="L133" i="30" s="1"/>
  <c r="H11" i="48"/>
  <c r="P572" i="40"/>
  <c r="I19" i="30"/>
  <c r="L19" i="30" s="1"/>
  <c r="I13" i="30"/>
  <c r="L13" i="30" s="1"/>
  <c r="J419" i="40"/>
  <c r="G123" i="30"/>
  <c r="E29" i="30"/>
  <c r="E27" i="30"/>
  <c r="L776" i="40"/>
  <c r="H20" i="48" s="1"/>
  <c r="L724" i="40"/>
  <c r="I23" i="30"/>
  <c r="L23" i="30" s="1"/>
  <c r="H41" i="30"/>
  <c r="L768" i="40"/>
  <c r="G20" i="48" s="1"/>
  <c r="E5" i="48"/>
  <c r="K5" i="48" s="1"/>
  <c r="E41" i="30"/>
  <c r="L731" i="40"/>
  <c r="D11" i="41" s="1"/>
  <c r="J727" i="40"/>
  <c r="L727" i="40" s="1"/>
  <c r="H751" i="40"/>
  <c r="H778" i="40" s="1"/>
  <c r="M142" i="40"/>
  <c r="L277" i="40"/>
  <c r="G9" i="48" s="1"/>
  <c r="L220" i="40"/>
  <c r="D60" i="41" s="1"/>
  <c r="H170" i="40"/>
  <c r="H518" i="40"/>
  <c r="H533" i="40" s="1"/>
  <c r="L203" i="40"/>
  <c r="M690" i="40"/>
  <c r="L196" i="40"/>
  <c r="D83" i="41" s="1"/>
  <c r="D74" i="41" s="1"/>
  <c r="L518" i="40"/>
  <c r="E13" i="48" s="1"/>
  <c r="L650" i="40"/>
  <c r="P178" i="40"/>
  <c r="M173" i="40"/>
  <c r="L173" i="40"/>
  <c r="D59" i="41" s="1"/>
  <c r="H677" i="40"/>
  <c r="H690" i="40" s="1"/>
  <c r="N464" i="40"/>
  <c r="H123" i="30"/>
  <c r="I119" i="30"/>
  <c r="L119" i="30" s="1"/>
  <c r="I78" i="30"/>
  <c r="L78" i="30" s="1"/>
  <c r="N59" i="40"/>
  <c r="L341" i="40"/>
  <c r="D62" i="41" s="1"/>
  <c r="J304" i="40"/>
  <c r="J34" i="40"/>
  <c r="K34" i="40"/>
  <c r="I34" i="40"/>
  <c r="Q172" i="40"/>
  <c r="J622" i="40"/>
  <c r="L622" i="40" s="1"/>
  <c r="K283" i="40"/>
  <c r="I283" i="40"/>
  <c r="L732" i="40"/>
  <c r="L786" i="40"/>
  <c r="C21" i="48" s="1"/>
  <c r="L540" i="40"/>
  <c r="L475" i="40"/>
  <c r="L484" i="40" s="1"/>
  <c r="L805" i="40"/>
  <c r="L686" i="40"/>
  <c r="H18" i="48" s="1"/>
  <c r="L428" i="40"/>
  <c r="L696" i="40"/>
  <c r="L502" i="40"/>
  <c r="L633" i="40"/>
  <c r="L94" i="40"/>
  <c r="L448" i="40"/>
  <c r="D29" i="41" s="1"/>
  <c r="M589" i="40"/>
  <c r="M624" i="40" s="1"/>
  <c r="N589" i="40"/>
  <c r="N624" i="40" s="1"/>
  <c r="H126" i="40"/>
  <c r="L47" i="40"/>
  <c r="N102" i="40"/>
  <c r="H446" i="40"/>
  <c r="H464" i="40" s="1"/>
  <c r="J283" i="40"/>
  <c r="L114" i="40"/>
  <c r="L126" i="40" s="1"/>
  <c r="L142" i="40" s="1"/>
  <c r="L51" i="40"/>
  <c r="I41" i="30" s="1"/>
  <c r="L71" i="40"/>
  <c r="L290" i="40"/>
  <c r="L149" i="40"/>
  <c r="L281" i="40"/>
  <c r="H9" i="48" s="1"/>
  <c r="L170" i="40"/>
  <c r="E9" i="48" s="1"/>
  <c r="M102" i="40"/>
  <c r="I421" i="40"/>
  <c r="H295" i="40"/>
  <c r="N172" i="40"/>
  <c r="N267" i="40" s="1"/>
  <c r="L32" i="40"/>
  <c r="L802" i="40"/>
  <c r="E21" i="48" s="1"/>
  <c r="H484" i="40"/>
  <c r="H496" i="40" s="1"/>
  <c r="I809" i="40"/>
  <c r="L446" i="40"/>
  <c r="H708" i="40"/>
  <c r="H712" i="40" s="1"/>
  <c r="H59" i="40"/>
  <c r="M59" i="40"/>
  <c r="H172" i="40"/>
  <c r="H267" i="40" s="1"/>
  <c r="J589" i="40"/>
  <c r="H802" i="40"/>
  <c r="H809" i="40" s="1"/>
  <c r="L531" i="40"/>
  <c r="H13" i="48" s="1"/>
  <c r="L379" i="40"/>
  <c r="L708" i="40"/>
  <c r="E19" i="48" s="1"/>
  <c r="K19" i="48" s="1"/>
  <c r="M533" i="40"/>
  <c r="H589" i="40"/>
  <c r="H624" i="40" s="1"/>
  <c r="L334" i="40"/>
  <c r="J316" i="40"/>
  <c r="J357" i="40" s="1"/>
  <c r="L359" i="40"/>
  <c r="H88" i="40"/>
  <c r="K126" i="21"/>
  <c r="F23" i="30"/>
  <c r="G23" i="30"/>
  <c r="H23" i="30"/>
  <c r="J93" i="21"/>
  <c r="I78" i="21"/>
  <c r="K72" i="21"/>
  <c r="J72" i="21"/>
  <c r="G72" i="21"/>
  <c r="I121" i="30" l="1"/>
  <c r="L121" i="30" s="1"/>
  <c r="L589" i="40"/>
  <c r="E14" i="48" s="1"/>
  <c r="H34" i="40"/>
  <c r="L22" i="40"/>
  <c r="L34" i="40" s="1"/>
  <c r="M172" i="40"/>
  <c r="M267" i="40" s="1"/>
  <c r="J53" i="30"/>
  <c r="J51" i="30" s="1"/>
  <c r="E16" i="41"/>
  <c r="E14" i="41" s="1"/>
  <c r="E4" i="41" s="1"/>
  <c r="K13" i="48"/>
  <c r="H102" i="40"/>
  <c r="E7" i="48"/>
  <c r="K7" i="48" s="1"/>
  <c r="H142" i="40"/>
  <c r="E8" i="48"/>
  <c r="K8" i="48" s="1"/>
  <c r="H14" i="48"/>
  <c r="H15" i="48"/>
  <c r="K15" i="48" s="1"/>
  <c r="D58" i="41"/>
  <c r="I88" i="30"/>
  <c r="L88" i="30" s="1"/>
  <c r="F21" i="48"/>
  <c r="K21" i="48" s="1"/>
  <c r="C22" i="48"/>
  <c r="L496" i="40"/>
  <c r="E12" i="48"/>
  <c r="K12" i="48" s="1"/>
  <c r="I24" i="30"/>
  <c r="L24" i="30" s="1"/>
  <c r="D48" i="41"/>
  <c r="E11" i="48"/>
  <c r="I780" i="40"/>
  <c r="I813" i="40" s="1"/>
  <c r="L41" i="30"/>
  <c r="I123" i="30"/>
  <c r="L123" i="30" s="1"/>
  <c r="L419" i="40"/>
  <c r="D31" i="41" s="1"/>
  <c r="H304" i="40"/>
  <c r="J751" i="40"/>
  <c r="J778" i="40" s="1"/>
  <c r="I27" i="30"/>
  <c r="L27" i="30" s="1"/>
  <c r="L751" i="40"/>
  <c r="J624" i="40"/>
  <c r="K421" i="40"/>
  <c r="P203" i="40"/>
  <c r="L677" i="40"/>
  <c r="N421" i="40"/>
  <c r="M421" i="40"/>
  <c r="L456" i="40"/>
  <c r="J421" i="40"/>
  <c r="O163" i="40"/>
  <c r="O170" i="40"/>
  <c r="L172" i="40"/>
  <c r="P172" i="40"/>
  <c r="Q174" i="40" s="1"/>
  <c r="L712" i="40"/>
  <c r="L809" i="40"/>
  <c r="L295" i="40"/>
  <c r="L304" i="40" s="1"/>
  <c r="L533" i="40"/>
  <c r="L88" i="40"/>
  <c r="L102" i="40" s="1"/>
  <c r="L55" i="40"/>
  <c r="L59" i="40" s="1"/>
  <c r="L316" i="40"/>
  <c r="H283" i="40"/>
  <c r="L624" i="40" l="1"/>
  <c r="D16" i="41" s="1"/>
  <c r="D14" i="41" s="1"/>
  <c r="L357" i="40"/>
  <c r="G10" i="48" s="1"/>
  <c r="G22" i="48" s="1"/>
  <c r="D46" i="41"/>
  <c r="D44" i="41" s="1"/>
  <c r="K14" i="48"/>
  <c r="L267" i="40"/>
  <c r="F9" i="48" s="1"/>
  <c r="K9" i="48" s="1"/>
  <c r="D6" i="41"/>
  <c r="L778" i="40"/>
  <c r="E20" i="48"/>
  <c r="K20" i="48" s="1"/>
  <c r="L690" i="40"/>
  <c r="D8" i="41" s="1"/>
  <c r="E18" i="48"/>
  <c r="K18" i="48" s="1"/>
  <c r="H421" i="40"/>
  <c r="H780" i="40" s="1"/>
  <c r="H813" i="40" s="1"/>
  <c r="E10" i="48"/>
  <c r="L464" i="40"/>
  <c r="F11" i="48"/>
  <c r="D27" i="41"/>
  <c r="H10" i="48"/>
  <c r="K780" i="40"/>
  <c r="K813" i="40" s="1"/>
  <c r="J780" i="40"/>
  <c r="J813" i="40" s="1"/>
  <c r="O102" i="40"/>
  <c r="L283" i="40" l="1"/>
  <c r="O283" i="40" s="1"/>
  <c r="O267" i="40"/>
  <c r="E22" i="48"/>
  <c r="D5" i="41"/>
  <c r="D4" i="41" s="1"/>
  <c r="L421" i="40"/>
  <c r="L780" i="40" s="1"/>
  <c r="L813" i="40" s="1"/>
  <c r="F22" i="48"/>
  <c r="K11" i="48"/>
  <c r="H22" i="48"/>
  <c r="K10" i="48"/>
  <c r="K4" i="41"/>
  <c r="L148" i="21"/>
  <c r="E1" i="41" l="1"/>
  <c r="K22" i="48"/>
  <c r="K23" i="48"/>
  <c r="N5" i="21"/>
  <c r="N4" i="21"/>
  <c r="E20" i="21"/>
  <c r="L23" i="48" l="1"/>
  <c r="F132" i="30"/>
  <c r="G132" i="30"/>
  <c r="H132" i="30"/>
  <c r="J132" i="30"/>
  <c r="E132" i="30"/>
  <c r="K31" i="21" l="1"/>
  <c r="J31" i="21"/>
  <c r="G111" i="21" l="1"/>
  <c r="F111" i="21"/>
  <c r="E111" i="21"/>
  <c r="K66" i="21"/>
  <c r="K92" i="21"/>
  <c r="H60" i="30" l="1"/>
  <c r="G60" i="30"/>
  <c r="F60" i="30"/>
  <c r="N144" i="21" l="1"/>
  <c r="L149" i="21" l="1"/>
  <c r="H120" i="30" l="1"/>
  <c r="E25" i="30"/>
  <c r="F25" i="30"/>
  <c r="G25" i="30"/>
  <c r="H25" i="30"/>
  <c r="G57" i="30" l="1"/>
  <c r="F57" i="30"/>
  <c r="E57" i="30"/>
  <c r="K143" i="21"/>
  <c r="G146" i="21"/>
  <c r="L147" i="21"/>
  <c r="I81" i="21" l="1"/>
  <c r="K142" i="21" l="1"/>
  <c r="J142" i="21"/>
  <c r="H142" i="21"/>
  <c r="E142" i="21"/>
  <c r="G843" i="40" s="1"/>
  <c r="H77" i="30"/>
  <c r="G77" i="30"/>
  <c r="F77" i="30"/>
  <c r="E77" i="30"/>
  <c r="G41" i="16" l="1"/>
  <c r="H41" i="16"/>
  <c r="N10" i="30"/>
  <c r="M92" i="21" l="1"/>
  <c r="H143" i="30" l="1"/>
  <c r="F63" i="30" l="1"/>
  <c r="G63" i="30"/>
  <c r="H63" i="30"/>
  <c r="I25" i="30"/>
  <c r="L25" i="30" s="1"/>
  <c r="M24" i="30" l="1"/>
  <c r="K83" i="21" l="1"/>
  <c r="J83" i="21"/>
  <c r="H110" i="30" l="1"/>
  <c r="G120" i="30" l="1"/>
  <c r="F86" i="30" l="1"/>
  <c r="G86" i="30"/>
  <c r="H86" i="30"/>
  <c r="H112" i="30" l="1"/>
  <c r="F112" i="30"/>
  <c r="E112" i="30"/>
  <c r="G143" i="30" l="1"/>
  <c r="G112" i="30"/>
  <c r="I112" i="30" l="1"/>
  <c r="L112" i="30" s="1"/>
  <c r="E63" i="30"/>
  <c r="E86" i="30" l="1"/>
  <c r="E85" i="30" s="1"/>
  <c r="K109" i="21"/>
  <c r="J109" i="21"/>
  <c r="G109" i="21"/>
  <c r="G106" i="21" s="1"/>
  <c r="F109" i="21"/>
  <c r="F106" i="21" s="1"/>
  <c r="E109" i="21"/>
  <c r="E106" i="21" s="1"/>
  <c r="I150" i="21"/>
  <c r="H38" i="30" l="1"/>
  <c r="I153" i="21" l="1"/>
  <c r="I125" i="21"/>
  <c r="I151" i="21"/>
  <c r="I96" i="21" l="1"/>
  <c r="I149" i="21"/>
  <c r="H122" i="21" l="1"/>
  <c r="P144" i="21" l="1"/>
  <c r="K42" i="21" l="1"/>
  <c r="J42" i="21"/>
  <c r="F154" i="21" l="1"/>
  <c r="F142" i="21" s="1"/>
  <c r="E60" i="30" l="1"/>
  <c r="I148" i="21"/>
  <c r="I107" i="21"/>
  <c r="I38" i="30" l="1"/>
  <c r="L38" i="30" s="1"/>
  <c r="G38" i="30"/>
  <c r="I130" i="21" l="1"/>
  <c r="K129" i="21"/>
  <c r="K122" i="21" s="1"/>
  <c r="J129" i="21"/>
  <c r="J122" i="21" s="1"/>
  <c r="I129" i="21"/>
  <c r="I126" i="21"/>
  <c r="I100" i="21" l="1"/>
  <c r="G88" i="21" l="1"/>
  <c r="H124" i="30"/>
  <c r="I124" i="30"/>
  <c r="L124" i="30" s="1"/>
  <c r="G124" i="30" l="1"/>
  <c r="I155" i="21"/>
  <c r="I156" i="21"/>
  <c r="I157" i="21"/>
  <c r="I158" i="21"/>
  <c r="I154" i="21"/>
  <c r="P571" i="40" l="1"/>
  <c r="P574" i="40" s="1"/>
  <c r="G142" i="21"/>
  <c r="K77" i="21"/>
  <c r="G96" i="30" l="1"/>
  <c r="E96" i="30"/>
  <c r="F96" i="30"/>
  <c r="K136" i="21"/>
  <c r="J136" i="21"/>
  <c r="H96" i="30" l="1"/>
  <c r="H70" i="30" l="1"/>
  <c r="G70" i="30"/>
  <c r="F70" i="30"/>
  <c r="E70" i="30"/>
  <c r="I77" i="30"/>
  <c r="L77" i="30" s="1"/>
  <c r="K38" i="21"/>
  <c r="K37" i="21"/>
  <c r="K41" i="21"/>
  <c r="F99" i="30" l="1"/>
  <c r="G99" i="30"/>
  <c r="H99" i="30"/>
  <c r="F110" i="30"/>
  <c r="E110" i="30"/>
  <c r="G110" i="30"/>
  <c r="F108" i="30"/>
  <c r="G108" i="30"/>
  <c r="H108" i="30"/>
  <c r="I99" i="30" l="1"/>
  <c r="L99" i="30" s="1"/>
  <c r="E99" i="30"/>
  <c r="I110" i="30" l="1"/>
  <c r="L110" i="30" s="1"/>
  <c r="I132" i="30" l="1"/>
  <c r="L132" i="30" s="1"/>
  <c r="K59" i="21" l="1"/>
  <c r="J59" i="21"/>
  <c r="E56" i="21"/>
  <c r="E82" i="21"/>
  <c r="G66" i="21"/>
  <c r="E108" i="30" l="1"/>
  <c r="I108" i="30" l="1"/>
  <c r="L108" i="30" s="1"/>
  <c r="E94" i="21" l="1"/>
  <c r="E17" i="21"/>
  <c r="G134" i="30" l="1"/>
  <c r="M23" i="30" l="1"/>
  <c r="K39" i="21" l="1"/>
  <c r="E92" i="21" l="1"/>
  <c r="F131" i="30" l="1"/>
  <c r="G131" i="30"/>
  <c r="H131" i="30"/>
  <c r="E131" i="30"/>
  <c r="I131" i="30" l="1"/>
  <c r="L131" i="30" s="1"/>
  <c r="G109" i="30" l="1"/>
  <c r="I93" i="21" l="1"/>
  <c r="J139" i="30" l="1"/>
  <c r="J137" i="30"/>
  <c r="J136" i="30"/>
  <c r="J48" i="30"/>
  <c r="J47" i="30"/>
  <c r="J30" i="30"/>
  <c r="J46" i="30" l="1"/>
  <c r="I120" i="21"/>
  <c r="I80" i="21" l="1"/>
  <c r="G79" i="21"/>
  <c r="G64" i="21" s="1"/>
  <c r="I142" i="21" l="1"/>
  <c r="F41" i="16" s="1"/>
  <c r="K115" i="21"/>
  <c r="J115" i="21"/>
  <c r="F137" i="30"/>
  <c r="M142" i="21" l="1"/>
  <c r="H137" i="30"/>
  <c r="G137" i="30"/>
  <c r="I109" i="21"/>
  <c r="E137" i="30"/>
  <c r="I124" i="21"/>
  <c r="I127" i="21"/>
  <c r="I128" i="21"/>
  <c r="F56" i="21" l="1"/>
  <c r="H56" i="21"/>
  <c r="I61" i="21"/>
  <c r="I62" i="21"/>
  <c r="H46" i="30"/>
  <c r="F46" i="30"/>
  <c r="E46" i="30"/>
  <c r="I70" i="30"/>
  <c r="L70" i="30" s="1"/>
  <c r="I147" i="21" l="1"/>
  <c r="I152" i="21"/>
  <c r="I122" i="21" l="1"/>
  <c r="M122" i="21" s="1"/>
  <c r="I144" i="21" l="1"/>
  <c r="I145" i="21"/>
  <c r="G46" i="30" l="1"/>
  <c r="F36" i="30" l="1"/>
  <c r="G36" i="30"/>
  <c r="H36" i="30"/>
  <c r="E138" i="21"/>
  <c r="G138" i="21"/>
  <c r="H138" i="21"/>
  <c r="I139" i="21"/>
  <c r="I141" i="21"/>
  <c r="J36" i="30" l="1"/>
  <c r="J33" i="30" s="1"/>
  <c r="J32" i="30" s="1"/>
  <c r="J22" i="30" s="1"/>
  <c r="E36" i="30"/>
  <c r="I75" i="21" l="1"/>
  <c r="K114" i="21" l="1"/>
  <c r="J114" i="21"/>
  <c r="K117" i="21"/>
  <c r="J117" i="21"/>
  <c r="H117" i="21"/>
  <c r="K118" i="21"/>
  <c r="J118" i="21"/>
  <c r="H118" i="21"/>
  <c r="K113" i="21"/>
  <c r="J113" i="21"/>
  <c r="H113" i="21"/>
  <c r="G58" i="21"/>
  <c r="G56" i="21" s="1"/>
  <c r="K58" i="21"/>
  <c r="J58" i="21"/>
  <c r="K97" i="21"/>
  <c r="J97" i="21"/>
  <c r="E97" i="21"/>
  <c r="E64" i="21" s="1"/>
  <c r="E25" i="21"/>
  <c r="E24" i="21"/>
  <c r="I24" i="21" s="1"/>
  <c r="H111" i="21" l="1"/>
  <c r="H106" i="21" s="1"/>
  <c r="J56" i="21"/>
  <c r="I56" i="21"/>
  <c r="K56" i="21"/>
  <c r="I18" i="21" l="1"/>
  <c r="I58" i="21"/>
  <c r="I37" i="21"/>
  <c r="I38" i="21"/>
  <c r="I39" i="21"/>
  <c r="I41" i="21"/>
  <c r="I42" i="21"/>
  <c r="I19" i="21" l="1"/>
  <c r="H122" i="30" l="1"/>
  <c r="F122" i="30"/>
  <c r="E122" i="30"/>
  <c r="H45" i="30" l="1"/>
  <c r="G45" i="30"/>
  <c r="H89" i="30"/>
  <c r="F89" i="30"/>
  <c r="E89" i="30"/>
  <c r="G89" i="30"/>
  <c r="G37" i="16"/>
  <c r="H37" i="16"/>
  <c r="G33" i="16"/>
  <c r="H33" i="16"/>
  <c r="K37" i="16"/>
  <c r="K33" i="16"/>
  <c r="I89" i="30" l="1"/>
  <c r="L89" i="30" s="1"/>
  <c r="I45" i="30"/>
  <c r="L45" i="30" s="1"/>
  <c r="G122" i="30"/>
  <c r="J33" i="16"/>
  <c r="E31" i="30" l="1"/>
  <c r="I146" i="21" l="1"/>
  <c r="F138" i="21" l="1"/>
  <c r="I123" i="21"/>
  <c r="J138" i="30" l="1"/>
  <c r="F109" i="30" l="1"/>
  <c r="G47" i="30" l="1"/>
  <c r="F47" i="30"/>
  <c r="H47" i="30"/>
  <c r="E47" i="30"/>
  <c r="E109" i="30"/>
  <c r="E98" i="30"/>
  <c r="E95" i="30" s="1"/>
  <c r="F98" i="30"/>
  <c r="G98" i="30"/>
  <c r="H109" i="30"/>
  <c r="H98" i="30"/>
  <c r="J138" i="21"/>
  <c r="K138" i="21"/>
  <c r="K17" i="21"/>
  <c r="I109" i="30" l="1"/>
  <c r="L109" i="30" s="1"/>
  <c r="H134" i="30"/>
  <c r="F134" i="30"/>
  <c r="I98" i="30"/>
  <c r="L98" i="30" s="1"/>
  <c r="I104" i="21" l="1"/>
  <c r="I103" i="21"/>
  <c r="I85" i="21"/>
  <c r="I77" i="21"/>
  <c r="I108" i="21"/>
  <c r="E114" i="30" l="1"/>
  <c r="E139" i="30"/>
  <c r="E138" i="30"/>
  <c r="E136" i="30"/>
  <c r="E135" i="30"/>
  <c r="E120" i="30"/>
  <c r="E118" i="30"/>
  <c r="E143" i="30"/>
  <c r="E83" i="30"/>
  <c r="E80" i="30"/>
  <c r="E74" i="30"/>
  <c r="E72" i="30"/>
  <c r="E69" i="30"/>
  <c r="E68" i="30"/>
  <c r="E67" i="30"/>
  <c r="E66" i="30"/>
  <c r="E61" i="30"/>
  <c r="E59" i="30"/>
  <c r="E55" i="30"/>
  <c r="E54" i="30"/>
  <c r="E48" i="30"/>
  <c r="E43" i="30"/>
  <c r="E42" i="30"/>
  <c r="E38" i="30"/>
  <c r="E37" i="30"/>
  <c r="E30" i="30"/>
  <c r="F114" i="30"/>
  <c r="F139" i="30"/>
  <c r="F138" i="30"/>
  <c r="F136" i="30"/>
  <c r="F135" i="30"/>
  <c r="F120" i="30"/>
  <c r="F118" i="30"/>
  <c r="F95" i="30"/>
  <c r="F143" i="30"/>
  <c r="F85" i="30"/>
  <c r="F83" i="30"/>
  <c r="F80" i="30"/>
  <c r="F75" i="30"/>
  <c r="F74" i="30"/>
  <c r="F72" i="30"/>
  <c r="F69" i="30"/>
  <c r="F68" i="30"/>
  <c r="F67" i="30"/>
  <c r="F66" i="30"/>
  <c r="F61" i="30"/>
  <c r="F59" i="30"/>
  <c r="F55" i="30"/>
  <c r="F54" i="30"/>
  <c r="F48" i="30"/>
  <c r="F43" i="30"/>
  <c r="F42" i="30"/>
  <c r="F38" i="30"/>
  <c r="F37" i="30"/>
  <c r="F30" i="30"/>
  <c r="F15" i="30"/>
  <c r="G114" i="30"/>
  <c r="G139" i="30"/>
  <c r="G136" i="30"/>
  <c r="G135" i="30"/>
  <c r="G118" i="30"/>
  <c r="G95" i="30"/>
  <c r="G85" i="30"/>
  <c r="G83" i="30"/>
  <c r="G80" i="30"/>
  <c r="G75" i="30"/>
  <c r="G74" i="30"/>
  <c r="G72" i="30"/>
  <c r="G69" i="30"/>
  <c r="G68" i="30"/>
  <c r="G67" i="30"/>
  <c r="G66" i="30"/>
  <c r="G61" i="30"/>
  <c r="G59" i="30"/>
  <c r="G55" i="30"/>
  <c r="G54" i="30"/>
  <c r="G48" i="30"/>
  <c r="G43" i="30"/>
  <c r="G42" i="30"/>
  <c r="G37" i="30"/>
  <c r="G30" i="30"/>
  <c r="G15" i="30"/>
  <c r="H114" i="30"/>
  <c r="H139" i="30"/>
  <c r="H138" i="30"/>
  <c r="H136" i="30"/>
  <c r="H135" i="30"/>
  <c r="H118" i="30"/>
  <c r="H95" i="30"/>
  <c r="H85" i="30"/>
  <c r="H83" i="30"/>
  <c r="H80" i="30"/>
  <c r="H75" i="30"/>
  <c r="H74" i="30"/>
  <c r="H72" i="30"/>
  <c r="H69" i="30"/>
  <c r="H68" i="30"/>
  <c r="H67" i="30"/>
  <c r="H66" i="30"/>
  <c r="H61" i="30"/>
  <c r="H59" i="30"/>
  <c r="H55" i="30"/>
  <c r="H54" i="30"/>
  <c r="H48" i="30"/>
  <c r="H43" i="30"/>
  <c r="H42" i="30"/>
  <c r="H37" i="30"/>
  <c r="H30" i="30"/>
  <c r="H15" i="30"/>
  <c r="I120" i="30"/>
  <c r="L120" i="30" s="1"/>
  <c r="I80" i="30"/>
  <c r="L80" i="30" s="1"/>
  <c r="F116" i="30" l="1"/>
  <c r="H56" i="30"/>
  <c r="G56" i="30"/>
  <c r="F56" i="30"/>
  <c r="E56" i="30"/>
  <c r="I143" i="30"/>
  <c r="L143" i="30" s="1"/>
  <c r="G116" i="30"/>
  <c r="H116" i="30"/>
  <c r="I15" i="30"/>
  <c r="L15" i="30" s="1"/>
  <c r="I96" i="30"/>
  <c r="L96" i="30" s="1"/>
  <c r="I137" i="30"/>
  <c r="L137" i="30" s="1"/>
  <c r="I36" i="30"/>
  <c r="L36" i="30" s="1"/>
  <c r="I46" i="30"/>
  <c r="L46" i="30" s="1"/>
  <c r="I122" i="30"/>
  <c r="L122" i="30" s="1"/>
  <c r="I61" i="30"/>
  <c r="L61" i="30" s="1"/>
  <c r="I42" i="30"/>
  <c r="L42" i="30" s="1"/>
  <c r="I47" i="30"/>
  <c r="L47" i="30" s="1"/>
  <c r="E75" i="30"/>
  <c r="I139" i="30"/>
  <c r="L139" i="30" s="1"/>
  <c r="H81" i="30"/>
  <c r="G81" i="30"/>
  <c r="F81" i="30"/>
  <c r="F12" i="30"/>
  <c r="H12" i="30"/>
  <c r="E81" i="30"/>
  <c r="G12" i="30"/>
  <c r="E12" i="30"/>
  <c r="J15" i="30" l="1"/>
  <c r="K15" i="30" s="1"/>
  <c r="I86" i="30"/>
  <c r="L86" i="30" s="1"/>
  <c r="L35" i="30"/>
  <c r="I60" i="30" l="1"/>
  <c r="L60" i="30" s="1"/>
  <c r="L58" i="30"/>
  <c r="I63" i="30"/>
  <c r="L63" i="30" s="1"/>
  <c r="I33" i="30"/>
  <c r="L33" i="30" s="1"/>
  <c r="G52" i="30"/>
  <c r="E52" i="30"/>
  <c r="H52" i="30"/>
  <c r="F52" i="30"/>
  <c r="I85" i="30" l="1"/>
  <c r="L85" i="30" s="1"/>
  <c r="E53" i="30"/>
  <c r="E51" i="30" s="1"/>
  <c r="F53" i="30"/>
  <c r="F51" i="30" s="1"/>
  <c r="G53" i="30"/>
  <c r="G51" i="30" s="1"/>
  <c r="H53" i="30"/>
  <c r="H51" i="30" s="1"/>
  <c r="I53" i="30" l="1"/>
  <c r="L53" i="30" s="1"/>
  <c r="I66" i="21"/>
  <c r="I67" i="21"/>
  <c r="I68" i="21"/>
  <c r="I76" i="21"/>
  <c r="I69" i="21"/>
  <c r="I79" i="21"/>
  <c r="I70" i="21"/>
  <c r="I71" i="21"/>
  <c r="I94" i="21"/>
  <c r="I73" i="21"/>
  <c r="I74" i="21"/>
  <c r="I82" i="21"/>
  <c r="I86" i="21"/>
  <c r="I83" i="21"/>
  <c r="I84" i="21"/>
  <c r="I88" i="21"/>
  <c r="I89" i="21"/>
  <c r="I90" i="21"/>
  <c r="I91" i="21"/>
  <c r="I92" i="21"/>
  <c r="I97" i="21"/>
  <c r="I98" i="21"/>
  <c r="I99" i="21"/>
  <c r="I95" i="21"/>
  <c r="I65" i="21"/>
  <c r="I59" i="21"/>
  <c r="I60" i="21"/>
  <c r="I57" i="21"/>
  <c r="I143" i="21"/>
  <c r="I140" i="21"/>
  <c r="I136" i="21"/>
  <c r="I119" i="21"/>
  <c r="I118" i="21"/>
  <c r="I117" i="21"/>
  <c r="I116" i="21"/>
  <c r="I115" i="21"/>
  <c r="I114" i="21"/>
  <c r="I113" i="21"/>
  <c r="I112" i="21"/>
  <c r="I110" i="21"/>
  <c r="I52" i="21"/>
  <c r="I51" i="21"/>
  <c r="I47" i="21"/>
  <c r="I44" i="21"/>
  <c r="I40" i="21"/>
  <c r="I34" i="21"/>
  <c r="I33" i="21"/>
  <c r="I32" i="21"/>
  <c r="I31" i="21"/>
  <c r="I30" i="21"/>
  <c r="I29" i="21"/>
  <c r="I28" i="21"/>
  <c r="I25" i="21"/>
  <c r="I21" i="21"/>
  <c r="I20" i="21"/>
  <c r="I17" i="21"/>
  <c r="F135" i="21"/>
  <c r="F132" i="21" s="1"/>
  <c r="G135" i="21"/>
  <c r="G132" i="21" s="1"/>
  <c r="H135" i="21"/>
  <c r="H132" i="21" s="1"/>
  <c r="E135" i="21"/>
  <c r="E132" i="21" s="1"/>
  <c r="F102" i="21"/>
  <c r="G102" i="21"/>
  <c r="H102" i="21"/>
  <c r="E102" i="21"/>
  <c r="F50" i="21"/>
  <c r="G50" i="21"/>
  <c r="H50" i="21"/>
  <c r="E50" i="21"/>
  <c r="F36" i="21"/>
  <c r="G36" i="21"/>
  <c r="H36" i="21"/>
  <c r="E36" i="21"/>
  <c r="F27" i="21"/>
  <c r="G27" i="21"/>
  <c r="H27" i="21"/>
  <c r="E27" i="21"/>
  <c r="F23" i="21"/>
  <c r="G23" i="21"/>
  <c r="H23" i="21"/>
  <c r="E23" i="21"/>
  <c r="F16" i="21"/>
  <c r="G16" i="21"/>
  <c r="H16" i="21"/>
  <c r="E16" i="21"/>
  <c r="I136" i="30"/>
  <c r="L136" i="30" s="1"/>
  <c r="I48" i="30"/>
  <c r="L48" i="30" s="1"/>
  <c r="I30" i="30"/>
  <c r="L30" i="30" s="1"/>
  <c r="I43" i="30"/>
  <c r="L43" i="30" s="1"/>
  <c r="I54" i="30"/>
  <c r="L54" i="30" s="1"/>
  <c r="I55" i="30"/>
  <c r="L55" i="30" s="1"/>
  <c r="I59" i="30"/>
  <c r="I66" i="30"/>
  <c r="L66" i="30" s="1"/>
  <c r="I67" i="30"/>
  <c r="L67" i="30" s="1"/>
  <c r="I68" i="30"/>
  <c r="L68" i="30" s="1"/>
  <c r="I69" i="30"/>
  <c r="L69" i="30" s="1"/>
  <c r="I72" i="30"/>
  <c r="L72" i="30" s="1"/>
  <c r="I75" i="30"/>
  <c r="L75" i="30" s="1"/>
  <c r="I83" i="30"/>
  <c r="L83" i="30" s="1"/>
  <c r="I95" i="30"/>
  <c r="L95" i="30" s="1"/>
  <c r="I118" i="30"/>
  <c r="L118" i="30" s="1"/>
  <c r="I135" i="30"/>
  <c r="L135" i="30" s="1"/>
  <c r="I114" i="30"/>
  <c r="L114" i="30" s="1"/>
  <c r="F31" i="30"/>
  <c r="G31" i="30"/>
  <c r="H31" i="30"/>
  <c r="F35" i="30"/>
  <c r="F33" i="30" s="1"/>
  <c r="F32" i="30" s="1"/>
  <c r="G35" i="30"/>
  <c r="G33" i="30" s="1"/>
  <c r="G32" i="30" s="1"/>
  <c r="H35" i="30"/>
  <c r="H33" i="30" s="1"/>
  <c r="H32" i="30" s="1"/>
  <c r="J116" i="30"/>
  <c r="K116" i="30"/>
  <c r="J135" i="21"/>
  <c r="J132" i="21" s="1"/>
  <c r="J116" i="21"/>
  <c r="J111" i="21" s="1"/>
  <c r="J106" i="21" s="1"/>
  <c r="J102" i="21"/>
  <c r="J98" i="21"/>
  <c r="J85" i="21"/>
  <c r="J75" i="21"/>
  <c r="J50" i="21"/>
  <c r="J36" i="21"/>
  <c r="J27" i="21"/>
  <c r="J23" i="21"/>
  <c r="J16" i="21"/>
  <c r="I102" i="21"/>
  <c r="K75" i="21"/>
  <c r="K65" i="21"/>
  <c r="K98" i="21"/>
  <c r="K135" i="21"/>
  <c r="K132" i="21" s="1"/>
  <c r="K16" i="21"/>
  <c r="K23" i="21"/>
  <c r="K27" i="21"/>
  <c r="K36" i="21"/>
  <c r="K50" i="21"/>
  <c r="K102" i="21"/>
  <c r="K116" i="21"/>
  <c r="K111" i="21" s="1"/>
  <c r="K106" i="21" s="1"/>
  <c r="K64" i="21" l="1"/>
  <c r="K54" i="21" s="1"/>
  <c r="J64" i="21"/>
  <c r="G14" i="21"/>
  <c r="F14" i="21"/>
  <c r="I56" i="30"/>
  <c r="L56" i="30" s="1"/>
  <c r="L59" i="30"/>
  <c r="I135" i="21"/>
  <c r="I132" i="21" s="1"/>
  <c r="I111" i="21"/>
  <c r="G34" i="16"/>
  <c r="H34" i="16"/>
  <c r="H14" i="21"/>
  <c r="H54" i="21"/>
  <c r="E64" i="30"/>
  <c r="E62" i="30" s="1"/>
  <c r="E50" i="30" s="1"/>
  <c r="G64" i="30"/>
  <c r="G62" i="30" s="1"/>
  <c r="G50" i="30" s="1"/>
  <c r="F64" i="30"/>
  <c r="F62" i="30" s="1"/>
  <c r="F50" i="30" s="1"/>
  <c r="H64" i="30"/>
  <c r="H62" i="30" s="1"/>
  <c r="H50" i="30" s="1"/>
  <c r="F38" i="16"/>
  <c r="J135" i="30"/>
  <c r="G100" i="30"/>
  <c r="G94" i="30" s="1"/>
  <c r="H38" i="16"/>
  <c r="H39" i="16" s="1"/>
  <c r="F28" i="30"/>
  <c r="H28" i="30"/>
  <c r="F37" i="16"/>
  <c r="G28" i="30"/>
  <c r="F33" i="16"/>
  <c r="K38" i="16"/>
  <c r="G38" i="16"/>
  <c r="G39" i="16" s="1"/>
  <c r="I31" i="30"/>
  <c r="L31" i="30" s="1"/>
  <c r="I16" i="21"/>
  <c r="I23" i="21"/>
  <c r="I27" i="21"/>
  <c r="I36" i="21"/>
  <c r="I46" i="21"/>
  <c r="F41" i="30"/>
  <c r="I52" i="30"/>
  <c r="L52" i="30" s="1"/>
  <c r="J14" i="21"/>
  <c r="I50" i="21"/>
  <c r="I74" i="30"/>
  <c r="I138" i="21"/>
  <c r="K14" i="21"/>
  <c r="I81" i="30"/>
  <c r="L81" i="30" s="1"/>
  <c r="I64" i="30"/>
  <c r="L64" i="30" s="1"/>
  <c r="I37" i="30"/>
  <c r="L37" i="30" s="1"/>
  <c r="F54" i="21"/>
  <c r="F12" i="21" s="1"/>
  <c r="F10" i="21" s="1"/>
  <c r="F8" i="21" s="1"/>
  <c r="E54" i="21"/>
  <c r="E14" i="21"/>
  <c r="J12" i="30"/>
  <c r="I12" i="30"/>
  <c r="K12" i="30"/>
  <c r="M12" i="30" l="1"/>
  <c r="L12" i="30"/>
  <c r="F39" i="16"/>
  <c r="I106" i="21"/>
  <c r="H12" i="21"/>
  <c r="E12" i="21"/>
  <c r="E10" i="21" s="1"/>
  <c r="E8" i="21" s="1"/>
  <c r="K12" i="21"/>
  <c r="I51" i="30"/>
  <c r="L51" i="30" s="1"/>
  <c r="I32" i="30"/>
  <c r="L32" i="30" s="1"/>
  <c r="E33" i="30"/>
  <c r="E32" i="30" s="1"/>
  <c r="G26" i="30"/>
  <c r="G22" i="30" s="1"/>
  <c r="G10" i="30" s="1"/>
  <c r="G8" i="30" s="1"/>
  <c r="J839" i="40" s="1"/>
  <c r="J838" i="40" s="1"/>
  <c r="E100" i="30"/>
  <c r="E94" i="30" s="1"/>
  <c r="H100" i="30"/>
  <c r="H94" i="30" s="1"/>
  <c r="F100" i="30"/>
  <c r="F94" i="30" s="1"/>
  <c r="H26" i="30"/>
  <c r="H22" i="30" s="1"/>
  <c r="F26" i="30"/>
  <c r="F22" i="30" s="1"/>
  <c r="K39" i="16"/>
  <c r="J39" i="16" s="1"/>
  <c r="J38" i="16"/>
  <c r="G35" i="16"/>
  <c r="I14" i="21"/>
  <c r="H35" i="16"/>
  <c r="E28" i="30"/>
  <c r="I62" i="30"/>
  <c r="I840" i="40"/>
  <c r="I841" i="40" s="1"/>
  <c r="J54" i="21"/>
  <c r="H10" i="21" l="1"/>
  <c r="H8" i="21" s="1"/>
  <c r="K840" i="40" s="1"/>
  <c r="K841" i="40" s="1"/>
  <c r="H30" i="16"/>
  <c r="K10" i="21"/>
  <c r="K8" i="21" s="1"/>
  <c r="H10" i="30"/>
  <c r="H8" i="30" s="1"/>
  <c r="K839" i="40" s="1"/>
  <c r="K838" i="40" s="1"/>
  <c r="F10" i="30"/>
  <c r="K30" i="16"/>
  <c r="J12" i="21"/>
  <c r="I50" i="30"/>
  <c r="J94" i="30"/>
  <c r="I100" i="30"/>
  <c r="L100" i="30" s="1"/>
  <c r="K94" i="30"/>
  <c r="I28" i="30"/>
  <c r="L28" i="30" s="1"/>
  <c r="K34" i="16"/>
  <c r="J34" i="16" s="1"/>
  <c r="E26" i="30"/>
  <c r="E22" i="30" s="1"/>
  <c r="M22" i="30" s="1"/>
  <c r="G30" i="16" l="1"/>
  <c r="J10" i="21"/>
  <c r="J8" i="21" s="1"/>
  <c r="N840" i="40"/>
  <c r="J30" i="16"/>
  <c r="F8" i="30"/>
  <c r="I839" i="40" s="1"/>
  <c r="I838" i="40" s="1"/>
  <c r="E10" i="30"/>
  <c r="I94" i="30"/>
  <c r="L94" i="30" s="1"/>
  <c r="I26" i="30"/>
  <c r="L26" i="30" s="1"/>
  <c r="H1" i="21"/>
  <c r="K2" i="30"/>
  <c r="K35" i="16"/>
  <c r="J35" i="16" s="1"/>
  <c r="M840" i="40" l="1"/>
  <c r="G842" i="40"/>
  <c r="G844" i="40" s="1"/>
  <c r="H840" i="40"/>
  <c r="H841" i="40" s="1"/>
  <c r="F1" i="21"/>
  <c r="F7" i="21" s="1"/>
  <c r="I22" i="30"/>
  <c r="J2" i="30"/>
  <c r="K31" i="16"/>
  <c r="I10" i="30" l="1"/>
  <c r="F31" i="16" s="1"/>
  <c r="L22" i="30"/>
  <c r="K32" i="16"/>
  <c r="K36" i="16" l="1"/>
  <c r="J31" i="16" l="1"/>
  <c r="K40" i="16"/>
  <c r="J32" i="16" l="1"/>
  <c r="J36" i="16"/>
  <c r="G54" i="21" l="1"/>
  <c r="I72" i="21"/>
  <c r="I64" i="21" s="1"/>
  <c r="G12" i="21" l="1"/>
  <c r="G10" i="21" l="1"/>
  <c r="G8" i="21" s="1"/>
  <c r="J840" i="40" s="1"/>
  <c r="I54" i="21"/>
  <c r="I12" i="21" s="1"/>
  <c r="N64" i="21"/>
  <c r="L840" i="40" l="1"/>
  <c r="L841" i="40" s="1"/>
  <c r="J841" i="40"/>
  <c r="F30" i="16"/>
  <c r="F32" i="16" s="1"/>
  <c r="I10" i="21"/>
  <c r="I8" i="21" s="1"/>
  <c r="I134" i="30"/>
  <c r="L134" i="30" s="1"/>
  <c r="G138" i="30"/>
  <c r="I138" i="30" l="1"/>
  <c r="L138" i="30" s="1"/>
  <c r="G1" i="21" l="1"/>
  <c r="G7" i="21" s="1"/>
  <c r="E116" i="30" l="1"/>
  <c r="E8" i="30" s="1"/>
  <c r="H839" i="40" l="1"/>
  <c r="H838" i="40" s="1"/>
  <c r="I116" i="30"/>
  <c r="E1" i="21"/>
  <c r="E7" i="21" s="1"/>
  <c r="I8" i="30" l="1"/>
  <c r="L839" i="40" s="1"/>
  <c r="L838" i="40" s="1"/>
  <c r="L116" i="30"/>
  <c r="F34" i="16"/>
  <c r="F35" i="16" s="1"/>
  <c r="F36" i="16" s="1"/>
  <c r="F40" i="16" s="1"/>
  <c r="J42" i="16" l="1"/>
  <c r="I1" i="21"/>
  <c r="M283" i="40" l="1"/>
  <c r="M780" i="40" s="1"/>
  <c r="J50" i="30"/>
  <c r="J10" i="30" s="1"/>
  <c r="M813" i="40" l="1"/>
  <c r="G31" i="16"/>
  <c r="G32" i="16" s="1"/>
  <c r="G36" i="16" s="1"/>
  <c r="G40" i="16" s="1"/>
  <c r="J8" i="30"/>
  <c r="M841" i="40" l="1"/>
  <c r="M839" i="40"/>
  <c r="M838" i="40" s="1"/>
  <c r="J1" i="21"/>
  <c r="J2" i="21" s="1"/>
  <c r="J1" i="30"/>
  <c r="N283" i="40"/>
  <c r="N780" i="40" s="1"/>
  <c r="K50" i="30"/>
  <c r="K10" i="30" s="1"/>
  <c r="N813" i="40" l="1"/>
  <c r="K8" i="30"/>
  <c r="H31" i="16"/>
  <c r="H32" i="16" s="1"/>
  <c r="H36" i="16" s="1"/>
  <c r="H40" i="16" s="1"/>
  <c r="I41" i="16" s="1"/>
  <c r="N841" i="40" l="1"/>
  <c r="K1" i="21"/>
  <c r="K2" i="21" s="1"/>
  <c r="N839" i="40"/>
  <c r="N838" i="40" s="1"/>
  <c r="K1" i="30"/>
  <c r="O221" i="40"/>
  <c r="G283" i="40"/>
  <c r="G780" i="40" s="1"/>
  <c r="D74" i="30" l="1"/>
  <c r="D62" i="30" l="1"/>
  <c r="L74" i="30"/>
  <c r="L62" i="30" l="1"/>
  <c r="D50" i="30"/>
  <c r="L50" i="30" l="1"/>
  <c r="D10" i="30"/>
  <c r="D8" i="30" l="1"/>
  <c r="L8" i="30" s="1"/>
  <c r="E31" i="16"/>
  <c r="E32" i="16" s="1"/>
  <c r="E36" i="16" s="1"/>
  <c r="E40" i="16" s="1"/>
  <c r="L10" i="30"/>
</calcChain>
</file>

<file path=xl/sharedStrings.xml><?xml version="1.0" encoding="utf-8"?>
<sst xmlns="http://schemas.openxmlformats.org/spreadsheetml/2006/main" count="1916" uniqueCount="1263">
  <si>
    <t>4.3. Prinudno administrativno izvršenje rješenja</t>
  </si>
  <si>
    <t>4.1. Usluge štampanja</t>
  </si>
  <si>
    <t>4.1. Usluge za stručno obrazovanje
(seminari, stručni ispiti i dr.str.uslu.)</t>
  </si>
  <si>
    <t>od toga:higijena i zimska služba</t>
  </si>
  <si>
    <t>od toga: dekoracija grada</t>
  </si>
  <si>
    <t>Promocija općine na sajmovima</t>
  </si>
  <si>
    <t>Grantovi pojedincima - za posebne namjene</t>
  </si>
  <si>
    <t>4.Ugovorene usluge</t>
  </si>
  <si>
    <t>1. Izgradnja drugih infrastrukturnih objekata</t>
  </si>
  <si>
    <t>Ekonom-</t>
  </si>
  <si>
    <t>O  p  i  s</t>
  </si>
  <si>
    <t>Ostvareno</t>
  </si>
  <si>
    <t>Naknade troškova zaposlenih</t>
  </si>
  <si>
    <t>Plaće i naknade troškova zaposlenih</t>
  </si>
  <si>
    <t>Doprinosi poslodavca</t>
  </si>
  <si>
    <t>Izdaci za materijal i usluge</t>
  </si>
  <si>
    <t>Izdaci za nabavku stalnih sredstava</t>
  </si>
  <si>
    <t>Sredstva za obezb. učesnika NOAR-a</t>
  </si>
  <si>
    <t>Boračke organizacije:</t>
  </si>
  <si>
    <t>ORVI "Sinovi Bosne" Lukavac</t>
  </si>
  <si>
    <t>Organizacija demobilisanih boraca</t>
  </si>
  <si>
    <t>Patriotska liga</t>
  </si>
  <si>
    <t>JU Javna biblioteka Lukavac</t>
  </si>
  <si>
    <t>Tekući transferi (grantovi)</t>
  </si>
  <si>
    <t>OPĆINSKO PRAVOBRANILAŠTVO</t>
  </si>
  <si>
    <t>TEKUĆA REZERVA</t>
  </si>
  <si>
    <t>UKUPNI IZDACI:</t>
  </si>
  <si>
    <t xml:space="preserve">4.1. Grantovi drugim nivoima </t>
  </si>
  <si>
    <t>4.2. Grantovi pojedincima</t>
  </si>
  <si>
    <t>4.2.2. Isplate stipendija</t>
  </si>
  <si>
    <t>4.3. Grantovi neprofitnim organizacijama</t>
  </si>
  <si>
    <t>ski kod</t>
  </si>
  <si>
    <t>I z d a c i</t>
  </si>
  <si>
    <t>1. Plaće i naknade troškova zaposlenih</t>
  </si>
  <si>
    <t>1.1. Bruto plaće i naknade</t>
  </si>
  <si>
    <t>2. Doprinosi poslodavca</t>
  </si>
  <si>
    <t>3. Izdaci za materijal i usluge</t>
  </si>
  <si>
    <t>3.1. Putni troškovi</t>
  </si>
  <si>
    <t>3.2. Izdaci za energiju</t>
  </si>
  <si>
    <t>3.3.1. Vlastite komunalne usluge</t>
  </si>
  <si>
    <t>3.4. Nabavka materijala</t>
  </si>
  <si>
    <t>3.5.Izdaci za usluge prevoza i goriva</t>
  </si>
  <si>
    <t>OPĆINSKO VIJEĆE</t>
  </si>
  <si>
    <t>JU Centar za kulturu</t>
  </si>
  <si>
    <t>JU RTL</t>
  </si>
  <si>
    <t>JU Centar za socijalni rad</t>
  </si>
  <si>
    <t>Transfer za socijalne pomoći</t>
  </si>
  <si>
    <t>od toga: otpremnine</t>
  </si>
  <si>
    <t>0 8 1 0</t>
  </si>
  <si>
    <t>0 8 2 0</t>
  </si>
  <si>
    <t>0 8 3 0</t>
  </si>
  <si>
    <t>1.   Porez na dobit</t>
  </si>
  <si>
    <t>1.1. Porez na dobit od privr. i prof. djelat.</t>
  </si>
  <si>
    <t>1.2. Porez na dobit od polj. djelatnosti</t>
  </si>
  <si>
    <t>1.3. Porez na osnovu autorskih prava</t>
  </si>
  <si>
    <t>1.4. Porez na ukupan prihod fizičkih lica</t>
  </si>
  <si>
    <t>1.5. Porez na prihod od imovine</t>
  </si>
  <si>
    <t>Funkci-
onalni
kod</t>
  </si>
  <si>
    <t>2.  Porez na plaće</t>
  </si>
  <si>
    <t xml:space="preserve">2.1. Porez na plaće </t>
  </si>
  <si>
    <t>2.2. Porez na dodatna primanja</t>
  </si>
  <si>
    <t>BOSNA I HERCEGOVINA</t>
  </si>
  <si>
    <t>FEDERACIJA BOSNE I HERCEGOVINE</t>
  </si>
  <si>
    <t>TUZLANSKI KANTON</t>
  </si>
  <si>
    <t>4.4.2. JP Veterinarska stanica Lukavac</t>
  </si>
  <si>
    <t>4.4.1. Posticaj poljoprivrednoj proizvodnji</t>
  </si>
  <si>
    <t>1.1. Naknada od eksploat.mineral.
      sirovina i naknade od koncesija</t>
  </si>
  <si>
    <t>Kamata na pozajmice od domaćih finansijsk.institucija</t>
  </si>
  <si>
    <t>Izdaci za  kamate</t>
  </si>
  <si>
    <t>Organizacija porodica šehida i poginulih boraca</t>
  </si>
  <si>
    <t>Udruž.dobitnika najviših ratnih priznanja općine Lukavac</t>
  </si>
  <si>
    <t>Udruženje antifašista i boraca NOR-a</t>
  </si>
  <si>
    <t>PLAN ZA NAREDNE
 2 GODINE</t>
  </si>
  <si>
    <t>PLAN ZA NAREDNE
2 GODINE</t>
  </si>
  <si>
    <t>od toga: Ostalo u skladu sa čl.184. Zakona o zašt .i spašav.ljudi i materijal.dobara od prir.i dr.nesreća</t>
  </si>
  <si>
    <t>od toga: Ostalo u skladu sa čl.184.Zakona o zašt.i spašav.ljudi i materijal.dobara od prir.i dr.nesreća</t>
  </si>
  <si>
    <t>od toga: uređenje parkova, visokog i niskog rastinja cvijetni aranžmani i dr.</t>
  </si>
  <si>
    <t xml:space="preserve">od toga: izmirenje obaveze po sudskom rješ.o izvrš.br. PS-96/02 ( obaveza za grijanje Doma kulture). Obaveze iz ranijeg i tekućeg perioda </t>
  </si>
  <si>
    <t>4.3. Porez na imovinu za motorna vozila</t>
  </si>
  <si>
    <t>6.Tekuće održavanje opreme i zgrade</t>
  </si>
  <si>
    <t>7. Izdaci za osiguranje vozila</t>
  </si>
  <si>
    <t>8.1. Usluge za stručno obrazovanje
(seminari, stručni ispiti i dr.str.uslu.)</t>
  </si>
  <si>
    <t>3.6. Tekuće održavanje</t>
  </si>
  <si>
    <t>3.6.1. Usl. Oprav.i održav. opreme i zgr.</t>
  </si>
  <si>
    <t>3.6.1.0. Općinskih upravnih zgrada</t>
  </si>
  <si>
    <t>3.6.1.1. Općinske opreme</t>
  </si>
  <si>
    <t>3.6.2. Cesta i dr. komunalnih objekata</t>
  </si>
  <si>
    <t>3.6.3. Održavanje ulične rasvjete</t>
  </si>
  <si>
    <t>3.7. Izdaci osiguranja i bankarskih usluga</t>
  </si>
  <si>
    <t>3.8. Ugovorene usluge</t>
  </si>
  <si>
    <t xml:space="preserve">Tekući grantovi </t>
  </si>
  <si>
    <t>Sufinansiranje izgradnje regionalnog centra za osobe oboljele od autizma</t>
  </si>
  <si>
    <t>C. Finansiranje</t>
  </si>
  <si>
    <t>1.Putni troškovi</t>
  </si>
  <si>
    <t>4.Nabavka materijala</t>
  </si>
  <si>
    <t>4.2.3. Pogrebni troškovi - sreds.od TK</t>
  </si>
  <si>
    <t>3.Porez na dohodak</t>
  </si>
  <si>
    <t>4.  Porez na imovinu</t>
  </si>
  <si>
    <t>5.  Porez na promet proizvoda i usluga</t>
  </si>
  <si>
    <t>6. Porez na prodaju dobara i usluga</t>
  </si>
  <si>
    <t>6.1. PDV</t>
  </si>
  <si>
    <t>7.  Ostali porezi</t>
  </si>
  <si>
    <t>7.1.Pos.porez na pl.od prirod.i dr.nesreća</t>
  </si>
  <si>
    <t>7.2.Pos.por za zaš.od prir.i dr.nesreć.ug o dj.</t>
  </si>
  <si>
    <t>Index</t>
  </si>
  <si>
    <t>3.3.2. Zajednička komunalna potrošnja</t>
  </si>
  <si>
    <t>P r i h o d i</t>
  </si>
  <si>
    <t>700+810</t>
  </si>
  <si>
    <t>Ukupni prihodi i primici (A+B)</t>
  </si>
  <si>
    <t xml:space="preserve">2.2. Usluge interneta za općinu </t>
  </si>
  <si>
    <t xml:space="preserve">I Z D A C I </t>
  </si>
  <si>
    <t>Član 5.</t>
  </si>
  <si>
    <t>1. Općinskom vijeću,2x</t>
  </si>
  <si>
    <t>Sredstva za posebne namjene CZ</t>
  </si>
  <si>
    <t>2.Izdaci za komunalne usluge</t>
  </si>
  <si>
    <t>Transfer za liječenje boračke populacije</t>
  </si>
  <si>
    <t>3.Nabavka materijala</t>
  </si>
  <si>
    <t>4.Ugovorene usluge:</t>
  </si>
  <si>
    <t>2.Izdaci za energiju</t>
  </si>
  <si>
    <t>3.Izdaci za komunalne usluge</t>
  </si>
  <si>
    <t>2.Vlastite komunalne usluge</t>
  </si>
  <si>
    <t>2.1. Izdaci za telefon.usluge (PTT)</t>
  </si>
  <si>
    <t>5.Ugovorene usluge</t>
  </si>
  <si>
    <t>4. Ugovorene usluge</t>
  </si>
  <si>
    <t>II  Neporeski prihodi (1+2+3)</t>
  </si>
  <si>
    <t>2.1. Vlastite komunalne usluge</t>
  </si>
  <si>
    <t>PLAN
za</t>
  </si>
  <si>
    <t>5.Izdaci za usluge prevoza i goriva</t>
  </si>
  <si>
    <t>610+820</t>
  </si>
  <si>
    <t>STRUČNA SLUŽBA OPĆINSKOG VIJEĆA</t>
  </si>
  <si>
    <t xml:space="preserve">STRUČNA SLUŽBA OPĆINSKOG NAČELNIKA </t>
  </si>
  <si>
    <t>SLUŽBA ZA BUDŽET I FINANSIJE</t>
  </si>
  <si>
    <t>SLUŽBA CIVILNE ZAŠTITE</t>
  </si>
  <si>
    <t>JEDINSTVENI ORGAN DRŽAVNE SLUŽBE</t>
  </si>
  <si>
    <t>1. Primici od prodaje zemljišta</t>
  </si>
  <si>
    <t xml:space="preserve">po korisnicima, odnosno nosiocima sredstava </t>
  </si>
  <si>
    <t>6.2. Kapitalni grantovi pojedincima i neprofitnim organiz.</t>
  </si>
  <si>
    <t>1.  Ostali prihodi od imovine</t>
  </si>
  <si>
    <t>2.1. Administrativne takse</t>
  </si>
  <si>
    <t>2.2. Komunalne takse- ukupno:</t>
  </si>
  <si>
    <t>3.  Novčane kazne</t>
  </si>
  <si>
    <t>3.1. Novčane kazne po općinskim propis.</t>
  </si>
  <si>
    <t>OPĆINA LUKAVAC</t>
  </si>
  <si>
    <t>od toga: Rezervisanja po Zakonu o izvršnom postupku</t>
  </si>
  <si>
    <t>Rekonstrukcija skloništa</t>
  </si>
  <si>
    <t>od toga:rekonstrukcija skloništa</t>
  </si>
  <si>
    <t>III  Tekuće potpore (grantovi)  (1+2+..+6)</t>
  </si>
  <si>
    <t>Udruga dragovoljaca i veterana domovinskog rata HVO općine Lukavac</t>
  </si>
  <si>
    <t>Otplate domaćim finansijskim institucijama</t>
  </si>
  <si>
    <t>od toga:Naknade vijećnicima za rad u Vijeću</t>
  </si>
  <si>
    <t>od toga:Naknade komis. Općinskog vijeća</t>
  </si>
  <si>
    <t>8.Ugovorene usluge:</t>
  </si>
  <si>
    <t xml:space="preserve">6.Tekuće održavanje </t>
  </si>
  <si>
    <t>SLUŽBA ZA GEODETSKE I IMOVINSKO-PRAVNE POSLOVE</t>
  </si>
  <si>
    <t>2. Naknade, takse i prihodi od pružanja javnih usl.</t>
  </si>
  <si>
    <t>od toga: nabavka paketa</t>
  </si>
  <si>
    <t>4.2. Porez na imovinu od pravnih lica</t>
  </si>
  <si>
    <t>4.3. Porez na nasljeđe i poklon</t>
  </si>
  <si>
    <t>4.4. Porez na prom. nepokretnosti</t>
  </si>
  <si>
    <t>4.5. Porez na promet nepokret.od pravnih lica</t>
  </si>
  <si>
    <t>Rekonstrukcija vatrogasnog doma u Lukavcu</t>
  </si>
  <si>
    <t>7.1. osiguranje vozila</t>
  </si>
  <si>
    <t>7.2. osiguranje vatrogasaca - dodatno</t>
  </si>
  <si>
    <t>od toga: rekonstrukcija zgrade CZ i vatrogasnog doma</t>
  </si>
  <si>
    <t>Sufinansiranje međunarodnih projekata i projekata sa viših nivoa vlasti</t>
  </si>
  <si>
    <t xml:space="preserve">Kapitalni grantovi </t>
  </si>
  <si>
    <t>od toga: rekonstrukcija općinske zgrade</t>
  </si>
  <si>
    <t>od toga : obilježavanje dana invalida</t>
  </si>
  <si>
    <t>od toga: za obilježavanje dana armije</t>
  </si>
  <si>
    <t>od toga: priključci na toplovodnu mrežu</t>
  </si>
  <si>
    <t>od toga: priključci na vodov. i kanalizacionu mrežu</t>
  </si>
  <si>
    <t>1. Rješavanje imovinskih odnosa (za regulaciju 
Jale i ostalih imovinskih odnosa zemljišta i objekata)</t>
  </si>
  <si>
    <t>Faza saniranja  posljedica uzrokovanih prirodnom i dr. nesrećom na području općine Lukavac ( budžetska sredstva)</t>
  </si>
  <si>
    <t>4. Nabavka opreme</t>
  </si>
  <si>
    <t>5. Izgradnja drugih infrastrukturnih objekata</t>
  </si>
  <si>
    <t>od toga : naknade za slučaj povrede na radu, teške bolesti ili invalidnosti zaposlenika ili članova njihove uže porodice ili njihove djece</t>
  </si>
  <si>
    <t>Opremanje vatrogasne jedinice iz sredstava po Zakonu o zaštiti od požara</t>
  </si>
  <si>
    <t>od toga: Izdaci za volontere</t>
  </si>
  <si>
    <t>4.  Tekući transferi (grantovi)</t>
  </si>
  <si>
    <t>311116
821222</t>
  </si>
  <si>
    <t>"Udruž.veterana rata 92-95 liječenih
od PTSP Općine Lukavac"</t>
  </si>
  <si>
    <t>4.1.Nabavka materijala za rad CZ</t>
  </si>
  <si>
    <t>I   Poreski prihodi (1+2+3+4+5+6)</t>
  </si>
  <si>
    <t>6. Kapitalni grantovi</t>
  </si>
  <si>
    <t>od toga: u skladu sa čl.184.Zakona o zašt.i 
spašav.ljudi i materijal.dobara od prir.i dr.nesreća</t>
  </si>
  <si>
    <t>5.Izdaci za pokriće obaveza iz ranijih 
godina po osnovu tekućih izdataka</t>
  </si>
  <si>
    <t>Dostavljeno:</t>
  </si>
  <si>
    <t>Tekući grantovi</t>
  </si>
  <si>
    <t>4.2.1. Izdaci za vojne invalide, ranjene borce i 
porod.poginul.boraca,demob.bor.( sreds. od Kantona)</t>
  </si>
  <si>
    <t>4/3
x100</t>
  </si>
  <si>
    <t>Redni</t>
  </si>
  <si>
    <t>broj</t>
  </si>
  <si>
    <t>1. Rješavanje imovinskih odnosa (za regulaciju Jale i ostalih imovinskih odnosa)</t>
  </si>
  <si>
    <t>4.4.0. Subvencije javnim preduzeć.- JP RAD</t>
  </si>
  <si>
    <t>3.2. Novčane kazne za prekršaje koji su reg. u reg. nov. kaz.</t>
  </si>
  <si>
    <t>2. Primljeni grant od Federacije</t>
  </si>
  <si>
    <t>3. Primljeni grant.od ostalih nivoa vlasti</t>
  </si>
  <si>
    <t>2.2. Izdaci za mobilni telefon</t>
  </si>
  <si>
    <t>od toga: Izdaci za usluge registracije vozila</t>
  </si>
  <si>
    <t>3.1. Izdaci za telefon.usluge (PTT)</t>
  </si>
  <si>
    <t>5.1. Izdaci za gorivo</t>
  </si>
  <si>
    <t>5.2. Izdaci za registraciju motornih vozila</t>
  </si>
  <si>
    <t>4.2. Usluge za stručno obrazovanje
(seminari, stručni ispiti i dr.str.uslu.)</t>
  </si>
  <si>
    <t>3.3. Izdaci za komunikaciju i komunalne usluge</t>
  </si>
  <si>
    <t>od toga: Potrošnja el. energ. za uličnu rasvjetu</t>
  </si>
  <si>
    <t>4.3.1. Grant mjesnim zajednicama</t>
  </si>
  <si>
    <t>4.3.2. Grantovi boračkim organizacijama</t>
  </si>
  <si>
    <t>4.3.4.HO "Merhamet" MDD</t>
  </si>
  <si>
    <t>4.3.5.Dječije "Selo Mira" Turija</t>
  </si>
  <si>
    <t>4.3.6.Centar za rehabilitaciju ovisnika o 
psihoaktivnim supstancama "Izvor Smoluća"</t>
  </si>
  <si>
    <t>4.3.7. Crveni križ</t>
  </si>
  <si>
    <t>4.4. Subvencije javnim preduzećima</t>
  </si>
  <si>
    <t>6.3. Ostali infrastruk.objekti po MZ-a, kao i kapitalni transferi MZ:</t>
  </si>
  <si>
    <t>2. Poslovna zona, plan i radovi; projektovanje objekata infrastrukture</t>
  </si>
  <si>
    <t>od toga: rekonstrukcija cesta</t>
  </si>
  <si>
    <t>0 1 1 1</t>
  </si>
  <si>
    <t xml:space="preserve">0 1 6 0 </t>
  </si>
  <si>
    <t>0 1 7 0</t>
  </si>
  <si>
    <t>0 4 1 2</t>
  </si>
  <si>
    <t xml:space="preserve">0 1 1 1 </t>
  </si>
  <si>
    <t>0 1 8 0</t>
  </si>
  <si>
    <t>0 9 5 0</t>
  </si>
  <si>
    <t>1 0 9 0</t>
  </si>
  <si>
    <t>0 1 6 0</t>
  </si>
  <si>
    <t>0 9 1 1</t>
  </si>
  <si>
    <t>0 4 7 3</t>
  </si>
  <si>
    <t xml:space="preserve"> 0 4 2 1 </t>
  </si>
  <si>
    <t>0 5 1 0</t>
  </si>
  <si>
    <t>0 5 3 0</t>
  </si>
  <si>
    <t>0 6 4 0</t>
  </si>
  <si>
    <t>0 6 6 0</t>
  </si>
  <si>
    <t>0 6 2 0</t>
  </si>
  <si>
    <t>0 8 4 0</t>
  </si>
  <si>
    <t>0 4 4 3</t>
  </si>
  <si>
    <t>0 2 2 0</t>
  </si>
  <si>
    <t>0 1 3 3</t>
  </si>
  <si>
    <t xml:space="preserve">0 1 3 3 </t>
  </si>
  <si>
    <t>0 1 1 2</t>
  </si>
  <si>
    <t>0 2 2 2</t>
  </si>
  <si>
    <t>PLAN  za</t>
  </si>
  <si>
    <t>4.6. Drugi tekući rashodi (povrati, sudska izvršenja)</t>
  </si>
  <si>
    <t>od toga: uređenje i opremanje građevinskog zemljišta</t>
  </si>
  <si>
    <t xml:space="preserve">2. Industrijska zona:    </t>
  </si>
  <si>
    <t>4. Proširenje i rekonstrukcija toplovodne mreže u Lukavcu gradu</t>
  </si>
  <si>
    <t>6. Rekonstrukcija cesta:</t>
  </si>
  <si>
    <t>Izvor 1- Sredstva budžeta</t>
  </si>
  <si>
    <t>Izvor 3 - Namjenski prihodi</t>
  </si>
  <si>
    <t>Izvor 4 - Grantovi i donacije</t>
  </si>
  <si>
    <t>Izvor 1 - Sredstva budžeta</t>
  </si>
  <si>
    <t>Izvor 2 - Kreditna sredstva</t>
  </si>
  <si>
    <t>Izvor 3 -  Namjenski prihod</t>
  </si>
  <si>
    <t>Izdaci za pokriće obaveza iz ranijih godina po osnovu tekućih izdataka (deficit iz prethodnih godina)</t>
  </si>
  <si>
    <t>Kapit.transf.neprofitnim organizacijama -namjenska sredstva za ublažavanje posljedica elementar.nepogoda ( od FONDA, od vlade TK usmjerena od Upravnog odbora Federalnog fonda, donac.domaćih i inostranih fizičkih i pravnih lica, od skloništa: "Sredstva za ublažavanje element.nepogoda"</t>
  </si>
  <si>
    <t xml:space="preserve">Kapitalni transferi pojedincima za otklanjanje šteta uzrokovanih prirodnom nesrećom </t>
  </si>
  <si>
    <t>Kapitalni transferi</t>
  </si>
  <si>
    <t>4.5.1. Subvencije za zapošljavanje (privatnim preduzećima i preduzetnicima)</t>
  </si>
  <si>
    <t>4.5.Subvencije privatnim preduzećima i preduzetnicima</t>
  </si>
  <si>
    <t xml:space="preserve">Namjenska sredstva za ublažavanje posljedica elementar.nepogoda </t>
  </si>
  <si>
    <t xml:space="preserve">6.2.2. Kapitalni transferi pojedincima za otklanjanje šteta uzrokovanih prirodnom nesrećom </t>
  </si>
  <si>
    <t>IV KAPITALNI TRANSFERI</t>
  </si>
  <si>
    <t>B.  Ukupni primici (V+VI)</t>
  </si>
  <si>
    <t>V  Kapitalni primici</t>
  </si>
  <si>
    <t>PLAN</t>
  </si>
  <si>
    <t>Član 3.</t>
  </si>
  <si>
    <t>od toga: Odluka br.18/01-14-016415-7/15 na iznos od 54.330,05 KM za otklanjanje šteta nastalih djelovanjem prirodnih nesreća u 2014.godini</t>
  </si>
  <si>
    <t xml:space="preserve">  PRIHODI</t>
  </si>
  <si>
    <t xml:space="preserve">  RASHODI</t>
  </si>
  <si>
    <t xml:space="preserve">  TEKUĆI SUFICIT / TEKUĆI DEFICIT ( 1 minus 2)</t>
  </si>
  <si>
    <t xml:space="preserve">  PRIMICI OD PRODAJE STALNIH SREDSTAVA</t>
  </si>
  <si>
    <t xml:space="preserve"> IZDACI ZA NABAVKU STALNIH SREDSTAVA</t>
  </si>
  <si>
    <t>NETO NABAVKA STALNIH SREDSTAVA ( 5 minus 4)</t>
  </si>
  <si>
    <r>
      <t xml:space="preserve">NETO POZAJMLJIVANJE( NETO ZADUŽENJE) = </t>
    </r>
    <r>
      <rPr>
        <b/>
        <sz val="12"/>
        <rFont val="Arial"/>
        <family val="2"/>
        <charset val="238"/>
      </rPr>
      <t>UKUPAN DEFICIT/SUFICIT ( 3 minus 6 )</t>
    </r>
  </si>
  <si>
    <t>PRIMICI OD ZADUŽIVANJA</t>
  </si>
  <si>
    <t>IZDACI ZA OTPLATE DUGOVA</t>
  </si>
  <si>
    <t>NETO ZADUŽIVANJE ( NETO OTPLATE DUGOVA ) (8 minus 9 )</t>
  </si>
  <si>
    <t>UKUPAN FINANSIJSKI REZULTAT (7+10)</t>
  </si>
  <si>
    <t>D. Neraspoređeni višak prihoda</t>
  </si>
  <si>
    <t>4.1. Porez na imovinu od fizičkih lica</t>
  </si>
  <si>
    <t>Izdaci za sudske i vansudske nagodbe</t>
  </si>
  <si>
    <t>4.1.1. Transfer za kulturu</t>
  </si>
  <si>
    <t>4.1.2. Transfer za sport</t>
  </si>
  <si>
    <t>4.1.3. Transfer za izbore</t>
  </si>
  <si>
    <t>4.1.4.Transfer za centar za socijalni rad</t>
  </si>
  <si>
    <t>od toga: usluge obuke  državnih službenika od strane Agencije za državnu službu</t>
  </si>
  <si>
    <t>Kamata na pozajmice od stranih finansijskih institucija (EIB)</t>
  </si>
  <si>
    <t>1 1 1 1</t>
  </si>
  <si>
    <t xml:space="preserve">613711
</t>
  </si>
  <si>
    <t>6.2. Općinskih upravnih zgrada - usluge za održavanje zgrade, čišćenje)</t>
  </si>
  <si>
    <t>6.3. Općinskih upravnih zgrada - usluge deratizacije, dezinfekcije i dezinsekcije)</t>
  </si>
  <si>
    <t>6.4. Općinskih upravnih zgrada - usluge održ.električne i gromobranske mreže i ispitivanja električne mreže-atesti)</t>
  </si>
  <si>
    <t>od toga: Imovinski odnosi rijeka Jala</t>
  </si>
  <si>
    <t>od toga: Imovinski odnosi rijeka Turija</t>
  </si>
  <si>
    <t>od toga: Imovinski odnosi rijeka Spreča</t>
  </si>
  <si>
    <t>6.Ugovorene usluge</t>
  </si>
  <si>
    <t>3.6.1.2. Ostale usluge održavanja</t>
  </si>
  <si>
    <t>od toga :projekat "Njega i pomoć u kući"</t>
  </si>
  <si>
    <t xml:space="preserve">1. Podrška održivom povratku (obnova stambenog fonda, poboljšanje uslova stanovanja) </t>
  </si>
  <si>
    <t xml:space="preserve">od toga: nastavak toplifikacije , sredstva od Ministrastva prostor.uređ.zaštitu okoliša TK </t>
  </si>
  <si>
    <t>6.1. Asfaltiranje parking prostora između ulica Titova - Branilaca Bosne i Armije BiH ugovor br. 02-14-661/16 od 26.04.2016.</t>
  </si>
  <si>
    <t>od toga :sanacija lokalnih nekategorisanih makadamskih puteva po MZ</t>
  </si>
  <si>
    <t>od toga: po Odluci br. 18/01-14-025412/16 od 28.10.2016.g. za uređenje poligona za obuku vatrogasaca</t>
  </si>
  <si>
    <t>4.2.4. Ostali grantovi pojedincima ( učesnici NOAR-a,za socijalne pomoći, za doktorske disertacije, nastradalim od mina)</t>
  </si>
  <si>
    <t xml:space="preserve">1.2. Prihod od iznajmljivanja općinske materijalne imovine-zemljišta </t>
  </si>
  <si>
    <t xml:space="preserve">1.3. Prihodi od iznajm.općins.mater.imov.-stanovi </t>
  </si>
  <si>
    <t>1.4. Prihodi od kamata na depozit</t>
  </si>
  <si>
    <t>1.5. Prihod od zakupa lovišta u vlasništvu općine</t>
  </si>
  <si>
    <t>5. Služba za zapošljavanje JU TK-a</t>
  </si>
  <si>
    <t>4. Usluge prevoza</t>
  </si>
  <si>
    <t>6.1. Usluge za stručno obrazovanje
(seminari, stručni ispiti i dr.str.uslu.)</t>
  </si>
  <si>
    <t>od toga: uređenje i čišćenje postojećeg otvorenog kanala za odvodnjavanje sa izradom propusta u naselju Krtova I lokalitet Sprečko polje</t>
  </si>
  <si>
    <t>2.1.Federalno Ministarstvo okoliša i turizma za  "Sanaciju i zatvar.općin.deponije Potočari-Huskići" iznos od 161.136KM na razgraničeni prihod 3911926</t>
  </si>
  <si>
    <t xml:space="preserve">1.Akumulirana neutrošena sredstva od 0,5% poreza na nesreće </t>
  </si>
  <si>
    <t>2.Akumulirana neutrošena sredstva od SKLONIŠTA</t>
  </si>
  <si>
    <t>3.Akumulirana neutrošena sredstva od protivpožarne zaštite (Zakon o zaštiti od požara)</t>
  </si>
  <si>
    <t>4.Akumulirana neutršena sreds.za ublažavanje posljedica prirodne nepogode</t>
  </si>
  <si>
    <t>od toga: naknada od Javnih preduzeća i drugih pravnih lica koja ostvaruju prihod radom termoelektrana</t>
  </si>
  <si>
    <t>Transfer za pomoć  sindikalnim organizacijama</t>
  </si>
  <si>
    <t>Podrška pri odbrani doktorske disertacije po javnom pozivu</t>
  </si>
  <si>
    <t>4.3.8. UG "Mali svijet" Lukavac</t>
  </si>
  <si>
    <t>4.3.9.Transfer za pomoć firmama i sindikalnim organizacijama</t>
  </si>
  <si>
    <t>4.3.10. Humanitarne, vladine i nevladine organizacije, i JP -memorandumi, ugovori i sporazumi ; Ekologija (uklanjanje divljih deponija) i dr.</t>
  </si>
  <si>
    <t>4.3.11.Transferi Javnim Ustanovama</t>
  </si>
  <si>
    <t>4.3.12.Transfer parlamentarnim grupama u OV</t>
  </si>
  <si>
    <t>4.3.13. Udruženja građana i dr. Organizacije
udruž.djece sa pos.potreb.;Savez gradova,UG vatrogasno društvo Amer Handanović Puračić, udruž.penzionera, podsticaj mladima, nevladinim organizacijama</t>
  </si>
  <si>
    <t>4.3.14. Tekući transfer za oblast nauke</t>
  </si>
  <si>
    <t>4.3.17. Deminiranje ciljanih površina</t>
  </si>
  <si>
    <t>Stipendije studentima, učenicima i stipendiranje uspješnih  sportista</t>
  </si>
  <si>
    <t>4.3.15.Razni transferi:-Učešće u organizac.sajma, turizma, lova i ribolova;-Promocija općine na sajmovima; volonteri u prethodnim godinama,sufinansiranje evropskih i drugih međunarodnih projekata)</t>
  </si>
  <si>
    <t>od toga: po Odluci br. 18/01-14-025450-2/16 od 28.10.2016.g. za stručno obučavanje i osposobljavanje vatrogasaca i sufinansiranje održavanja opreme i vatrogasnih sredstava</t>
  </si>
  <si>
    <t>2.1.Izdaci za usluge fiksne telefonije</t>
  </si>
  <si>
    <t>2.2. Izdaci za usluge mobilne telefonije</t>
  </si>
  <si>
    <t>4.Tekuće održavanje softvera za finansijsko poslovanje i geodetske poslove</t>
  </si>
  <si>
    <t>6.1. Usluge za stručno obrazovanje
(seminari, stručni ispiti i dr.stručne usluge)</t>
  </si>
  <si>
    <t>Doprinosi na teret poslodavca</t>
  </si>
  <si>
    <t>od toga: komisija za procjenu nepokretnosti</t>
  </si>
  <si>
    <t>Razdio</t>
  </si>
  <si>
    <t>Transfer parlamentarnim grupama u O.V.</t>
  </si>
  <si>
    <t>2.3.Izdaci za usluge mobilne telefonije</t>
  </si>
  <si>
    <t>Transferi neprofitnim organizacijama (sufinansiranje manjih evropskih i drugih međunarodnih projekata)</t>
  </si>
  <si>
    <t>Naknada za povrat više uplaćenih i pogrešno uplaćenih sredstava</t>
  </si>
  <si>
    <t>Transfer institucijama i drugim subjektima  za prijem volontera</t>
  </si>
  <si>
    <t>Nabavka opreme</t>
  </si>
  <si>
    <t>Kod potroša- čke jedinice</t>
  </si>
  <si>
    <t>2.1.2. Izdaci za mobilnu telefoniju</t>
  </si>
  <si>
    <t>2.1. Izdaci za fiksnu telefoniju</t>
  </si>
  <si>
    <t>2.2. Izdaci za mobilnu telefoniju</t>
  </si>
  <si>
    <t>2.3. Pismonosne pošiljke</t>
  </si>
  <si>
    <t>6.3. Izdaci za poreze i doprinose na dohodak (na isplate za doktorske disertacije)</t>
  </si>
  <si>
    <t>1. Sredstva za fizičku kulturu</t>
  </si>
  <si>
    <t>1.1. Sportski savez</t>
  </si>
  <si>
    <t>1.3.1.  NK  "Radnički" Lukavac</t>
  </si>
  <si>
    <t>Ekono- mski
kod</t>
  </si>
  <si>
    <t>1.6. Javni poziv u oblasti sporta</t>
  </si>
  <si>
    <t>1.7. Vanredni projekti u oblasti sporta</t>
  </si>
  <si>
    <t>2. Sredstva za kulturu</t>
  </si>
  <si>
    <t>3. Sredstva nevladinim organizacijama koje se bave humanitarnim radom</t>
  </si>
  <si>
    <t>3.1. HO "Merhamet" MDD</t>
  </si>
  <si>
    <t>3.2. Dječije "Selo Mira" Turija</t>
  </si>
  <si>
    <t>3.3. Centar za rehabilitaciju ovisnika o 
psihoaktivnim supstancama "Izvor Smoluća"</t>
  </si>
  <si>
    <t>3.4. Crveni križ Lukavac</t>
  </si>
  <si>
    <t>od toga: utrošak sredstava po Pravilniku o uvjetima i načinu korištenja sredstva od zamjene, zakupa koncesije poljoprivrednog zemljišta ( izvor iz TK, ek.kod 721121)</t>
  </si>
  <si>
    <t>2.1.1. Izdaci za fiksnu telefoniju</t>
  </si>
  <si>
    <t xml:space="preserve">Transferi pojedincima za troškove dženaza boraca i članova uže porodice (izvor - sredstva iz kantona) </t>
  </si>
  <si>
    <t>Transferi dobitnicima najvećih ratnih odlikovanja (izvor -sredstva iz kantona</t>
  </si>
  <si>
    <t>Rješavanje stambenih potreba boračke populacije i rad komisije                              (izvor -sredstva iz kantona)</t>
  </si>
  <si>
    <t>Nabavka udžbenika                                   (izvor -sredstva iz kantona)</t>
  </si>
  <si>
    <t xml:space="preserve">Transferi pojedincima BIZ                          (izvor -sredstva iz kantona) </t>
  </si>
  <si>
    <t>Transfer za rješavanje stambene
problemat. boračke populacije (izvor -budžet)</t>
  </si>
  <si>
    <t>4.2. Medicinske i laboratorijske usluge
 (Ispitivanje uzorka vode i hrane isl)</t>
  </si>
  <si>
    <t>3. Nabavka materijala (kancel.mat, sitan inv.isl)</t>
  </si>
  <si>
    <t>Kapitalni grantovi</t>
  </si>
  <si>
    <t>4. Nabavka materijala i usluge, od čega za:</t>
  </si>
  <si>
    <t>7.Izdaci za osiguranje</t>
  </si>
  <si>
    <t xml:space="preserve"> Kapitalni izdaci </t>
  </si>
  <si>
    <t>3.Nabavka materijala (kancelarijski,obrasci i papir, kompjuterski, sitan inventar)</t>
  </si>
  <si>
    <t xml:space="preserve">5.Izmirenje  obaveza po osnovu kapitalnih ulaganja iz ranijeg perioda </t>
  </si>
  <si>
    <t>4.Izdaci za osiguranja zaposlenih</t>
  </si>
  <si>
    <t>5.Izdaci za bankarske i usluge platnog prometa</t>
  </si>
  <si>
    <t>Ekono- mski  kod</t>
  </si>
  <si>
    <t>Prihodi i primici</t>
  </si>
  <si>
    <t>B. Rashodi i izdaci</t>
  </si>
  <si>
    <t>2.Izdaci za komunalne usluge - telefoni</t>
  </si>
  <si>
    <t xml:space="preserve">Naknade troškova zaposlenih </t>
  </si>
  <si>
    <t>1.2. Naknade troškova zaposlenih - topli obrok, prevoz, regres</t>
  </si>
  <si>
    <t>2.Izdaci za komunalne usluge -  telefoni</t>
  </si>
  <si>
    <t xml:space="preserve">3.Nabavka materijala </t>
  </si>
  <si>
    <t>Ostali doprinosi za podsticanje rehabilitacije i zapošljavanja lica sa invaliditetom</t>
  </si>
  <si>
    <t>2.1.Ostali doprinosi za podsticanje rehabilitacije i zapošljavanja lica sa invaliditetom</t>
  </si>
  <si>
    <t>10.Projekat "Uklanjanje komunalnog otpada i nanosa iz korita potoka Lipovac, za sanaciju šteta od poplava iz 2014.g." iz sreds.ekoloških naknada od Minist.prost.uređi zašt.okolice po ug.br.02-14-1093/16 od 27.07.16. Sredstva doznačena 18.08.2016.g. izv.br.163/16</t>
  </si>
  <si>
    <t>0 5 5 0</t>
  </si>
  <si>
    <t>od toga: za izradu karte upotrebne vrijednosti zemljišta ( izrada agropedološke karte općine Lukavac)</t>
  </si>
  <si>
    <t>od toga: očekivana naplata po osnovu sudskog izvršenja od strane JP Elektroprivreda ZD Kreka poosnovu koncesija</t>
  </si>
  <si>
    <t>od toga:očekivana naplata nakn.od ggz od Rudnika 664.356 KM i Kantona za škole 513082 KM</t>
  </si>
  <si>
    <t>Tabela 1</t>
  </si>
  <si>
    <t>Tabela 2</t>
  </si>
  <si>
    <t>Tabela 3</t>
  </si>
  <si>
    <t>Tabela 4</t>
  </si>
  <si>
    <t>8.Akumulirana neutrošena sredstva od "Agencije za vodno područje sliva Save"</t>
  </si>
  <si>
    <t>9.Neutrošena sredstva od kapitalnog transfera od TK Ministarstvo prostor.uređenja i  zaštite okolice, iz sredstava ekoloških naknada za projekat "Utopljavanje objekta zgrade općine Lukavac". Sredstva doznačena 18.08.'16. izv.br.163/16</t>
  </si>
  <si>
    <t>11.Akumulirani prihod od prodaje državnog kapitala od Fabrike sode</t>
  </si>
  <si>
    <t>1. Primici od domaćih finansijskih institucija</t>
  </si>
  <si>
    <t>2. Primici od zaduživanja putem Evropske Investicione Banke</t>
  </si>
  <si>
    <t>6. Nabavka ostalih stalnih sredstava - opremanje stočnog groblja</t>
  </si>
  <si>
    <t>3. Izmirenje  obaveza iz ranij.perioda po 
osnovu kapitalnih izdataka</t>
  </si>
  <si>
    <t>7. Izgradnja zgrade socijalnog stanovanja</t>
  </si>
  <si>
    <t>6.1. Tekuće održavanje opreme i remont</t>
  </si>
  <si>
    <t>6.2. Rad u komisijama - minimalno  tehnički uslovi, ostalo</t>
  </si>
  <si>
    <t>Subvencija JP  Veterinarska stanica Lukavac u skladu sa Zakonom o zaštiti i dobrobiti životinja</t>
  </si>
  <si>
    <t>od toga: uređenje zemljišta procesom agrotehničkih mjera - održavanje poljskih puteva i kanala</t>
  </si>
  <si>
    <t>od toga: obavezan vid predškolskog obrazovanja u svim osnovnim školama</t>
  </si>
  <si>
    <t>od toga: Odluka vlade TK br. 02/1-14-24838/14 od 23.09.2014.godine na iznos 35.700 KM, za izgradnju jednog stambenog objekta uništenog usljed prirodne nesreće</t>
  </si>
  <si>
    <t>Učešće u organizaciji međunarodnog 
sajma, turizma i ekologije</t>
  </si>
  <si>
    <t xml:space="preserve"> A. Prihodi i primici</t>
  </si>
  <si>
    <t>Opšti dio budžeta</t>
  </si>
  <si>
    <t>Posebni  dio budžeta</t>
  </si>
  <si>
    <t xml:space="preserve">3. Projektovanje kuća i objekata infrastr., izrada glavnog projekta toplifikacije, projekata sanacije, rekonstrukcije i proširenja vodovodne i kanalizacione mreže i ostalo; izrada idejnih rješenja,izrada regulacionog plana, revizija, nadzor </t>
  </si>
  <si>
    <t>1.1. Projektovanje, proširenje  i modernizacija ulične rasvjete</t>
  </si>
  <si>
    <t>Humanitarne, vladine i nevladine organizacije,  J.P. -  memorandumi, ugovori i sporazumi</t>
  </si>
  <si>
    <t>od toga: naknada izbornoj komisiji</t>
  </si>
  <si>
    <r>
      <t xml:space="preserve">4.3.3. Grantovi za liječenje boračke populacije 
</t>
    </r>
    <r>
      <rPr>
        <i/>
        <sz val="12"/>
        <color rgb="FFFF0000"/>
        <rFont val="Arial"/>
        <family val="2"/>
        <charset val="238"/>
      </rPr>
      <t>rješ.stamb.problemat</t>
    </r>
  </si>
  <si>
    <t>6.5.Transfer za rješavanje stambene
problemat. boračke populacije (izvor -budžet)</t>
  </si>
  <si>
    <t xml:space="preserve">6.6. Kapit.transf.neprofitnim organizacijama -namjenska sredstva za ublažavanje posljedica elementar.nepogoda </t>
  </si>
  <si>
    <t xml:space="preserve">6.2.3.Podrška socioekonomskom uključivanju romske populacije u BiH putem obezbjeđenja stambenih jedinica i socijalnih mjera - </t>
  </si>
  <si>
    <t>Nabavka namještaja</t>
  </si>
  <si>
    <t>3.5. Tekući transfer za oblast nauke i izdavačku djelatnost</t>
  </si>
  <si>
    <t>3.6. UG Dobrovoljna vatrogasna društva i društva za spašavanje 
Amer Handanović Puračić</t>
  </si>
  <si>
    <t>7. Nabavka GPS uređaja, uz nabvku licence za korištenje baznih stanica od Federalne uprave za geodetske i imovinsko pravne poslove za stari GPS</t>
  </si>
  <si>
    <t>6.2.1. Obnova stambenog fonda i podrška povratku, Rješavanje stambenih potreba boračke populacije i rad komisije   ( sreds. od Kantona)</t>
  </si>
  <si>
    <t>od toga: implementacija projekta prevencije maloljetničkog  prestupništva(socijalno neprihvatljivog ponašanja kod djece i mladih)</t>
  </si>
  <si>
    <t>8.Stalna sredstva u obliku prava</t>
  </si>
  <si>
    <t xml:space="preserve">9. Rekonstrukcija </t>
  </si>
  <si>
    <t>4.2. Nabavka intervencijskih vatrogasnih uniformi</t>
  </si>
  <si>
    <t>Sufinansiranje protivminskih aktivnosti 
Deminiranje ciljanih projekata (sufinansiranje)</t>
  </si>
  <si>
    <t>Sufinansiranje projekta integrisane socio-ekonomske podrške žrtvama mina</t>
  </si>
  <si>
    <t>Tehničko opremanje operativnog centra 
za obavještav.
Elektronska oprema</t>
  </si>
  <si>
    <t>Izrada projekta uređenja i završetka radova na objektu skladišta CZ, uz obezbjeđenje video nadzora
Rekonstrukcija zgrade Službe civilne zaštite</t>
  </si>
  <si>
    <t>Opremanje struktura Z/S  CZ 
sa posebnim akcentom na Službu zaštite od požara</t>
  </si>
  <si>
    <t>od toga: za nabavku opreme i sredstava za Službu zaštite i spašavanja od požara</t>
  </si>
  <si>
    <t xml:space="preserve">od toga: za nabavku opreme i sredstava za Službu zaštite i spašavanja na vodi i pod vodom </t>
  </si>
  <si>
    <t xml:space="preserve">od toga: za nabavku opreme i sredstava za jedinicu civilne zaštite opće namjene </t>
  </si>
  <si>
    <t>od toga: za nabavku dron letjelice za strukture Z/S CZ</t>
  </si>
  <si>
    <t>od toga: za popravak/ servisiranje dron letjelice za strukture Z/S CZ</t>
  </si>
  <si>
    <t>od toga: za vršenje geoloških ispitivanja podzemnih voda, njihovog kvaliteta, određivanje i obilježavanje mjesta za njihovu eksploataciju za strukture Z/S CZ</t>
  </si>
  <si>
    <t>3.7. UG "Mali svijet" Lukavac</t>
  </si>
  <si>
    <t xml:space="preserve">od toga: namjenska sredstva  CZ </t>
  </si>
  <si>
    <t>7. Kapitalni transfer JP "Rad" Lukavac, Javnim ustanovama, JP Željeznice FBiH</t>
  </si>
  <si>
    <t xml:space="preserve">Izrada elaborata za sanaciju klizišta </t>
  </si>
  <si>
    <t>od toga: za ostale imovinske odnose (prečistači, kolektori, putevi, vila filter stanica  i drugi)</t>
  </si>
  <si>
    <t>od toga primici od prodaje zemlje</t>
  </si>
  <si>
    <t>4.3. Nabavka radnih uniformi</t>
  </si>
  <si>
    <t>od toga: za popravak/servisiranje dron letjelice za strukture Z/S CZ</t>
  </si>
  <si>
    <t>od toga: plaćanje poreza, carine i drugih dadžbina prilikom uvoza doniranih sredstava i opreme za potrebe opremanja struktura CZ i izgradnju skladišta u kojima će se čuvati nabavljena oprema, te izuzetno za plaćanje troškova objave tendera za nabavku sredstava i opreme za ZS</t>
  </si>
  <si>
    <t>4.4. Poseban materijal za potrebe civilne zaštite</t>
  </si>
  <si>
    <t>4.5. Pripremanje, opremanje i obuka  i vježbe struktura 
civilne zaštite</t>
  </si>
  <si>
    <t>od toga: nabavka namještaja po ugovoru iz decembra 2017.</t>
  </si>
  <si>
    <t>Udruženje veterana rata 212/222 Bosanska oslobodilačka brigada</t>
  </si>
  <si>
    <t xml:space="preserve">6.1. Općinskih upravnih zgrada - materijal za održavanje(elekt.materij.,prekidači i dr.) </t>
  </si>
  <si>
    <t>2.Primljeni kapitalni transferi od međunarodnih organizacija ( IPA fondovi)</t>
  </si>
  <si>
    <t xml:space="preserve">3.Primljeni kapitalni transferi od kantona za putnu infrastrukturu
</t>
  </si>
  <si>
    <t>5. Sufinansiranje putnih pravaca
toplifikac. Mreže, projektovanja, izvođenje radova</t>
  </si>
  <si>
    <t>Primljeni transferi od međunarodnih organizacija GOPA i vlada Švicarske - UNDP u 2017.g.</t>
  </si>
  <si>
    <t>od toga: troškovi za grijanje</t>
  </si>
  <si>
    <t>od toga: dozvola regulatornoj agenciji</t>
  </si>
  <si>
    <t>1.6. Ostali prihodi od imovine - prihod od Toplica</t>
  </si>
  <si>
    <t xml:space="preserve">8.Akumulirana neutršena sreds. u 2017.godini od Minist.prost.uređ. i zaš.okolice TK za vodovod Poljice preneseno 258.490 KM, isplaćeno izvođaču 88.458,42 KM. </t>
  </si>
  <si>
    <t>9. Novčana sredstva od kredita za rješavanje imovinskih odnosa (za regulaciju 
Jale i ostalih imovinskih odnosa zemljišta i objekata)</t>
  </si>
  <si>
    <t>od toga : obilježavanje zimskih i ljetnih sadržaja</t>
  </si>
  <si>
    <t>od toga: iznajmljivanje bazena za sportska udruženja ili klubove</t>
  </si>
  <si>
    <t xml:space="preserve">od toga: subvencija učenicima iz socijalno ugroženih porodica </t>
  </si>
  <si>
    <t>2.1. Izdaci za mobilni telefon</t>
  </si>
  <si>
    <t>5.Ugovorene usluge:</t>
  </si>
  <si>
    <t>5.1.Usluge reprezentacije</t>
  </si>
  <si>
    <t>5.2. Usluge za stručno obrazovanje
(seminari, stručni ispiti i dr.str.uslu.)</t>
  </si>
  <si>
    <t>5.3.Izdaci za rad komisija Općinskog vijeća</t>
  </si>
  <si>
    <t>5.4.Izdaci za naknade vijećnicima za rad u općinskom vijeću</t>
  </si>
  <si>
    <t>od toga:Dženex doo ugovor br.02-14-2547/17-1</t>
  </si>
  <si>
    <t>od toga: troškovi za provođenje opštih izbora</t>
  </si>
  <si>
    <t>od toga: troškovi za provođenje lokalnih izbora</t>
  </si>
  <si>
    <t>od toga: troškovi referenduma</t>
  </si>
  <si>
    <t>od toga: priključenje na novoizgrađeni distribut.vodovodnu mrežu Puračić, ugovor. Br.02-14-3351/17 od 28.12.2017.g.</t>
  </si>
  <si>
    <t>od toga:mašinsko isijecanje asfaltnih površina trotoara, staza i prelaza na trasi cjevovoda na izgradnji vodovoda u MZ Poljice Gornje, ugovor sa Transport i mehanizacija Gračanica</t>
  </si>
  <si>
    <t>821594/011513</t>
  </si>
  <si>
    <t>od toga: sredstva od TK za stambeno zbrinjavanje socijalno ugroženih</t>
  </si>
  <si>
    <t>od toga: ugovor sa ŠF INŽENJERING Tuzla, ugovor br.02-14-1926/17 od 06.09.'17. za vodosnadbijevanje u Poljice Gornjem iznos 605.769,58 KM</t>
  </si>
  <si>
    <t>od toga: povrat od projekta "mobilno klizalište u gradu" dodijeljeno odlukom br. 02-02-1-3118/2017 od 21.12.2017.g. Dodijeljeno JU Centru za kulturu</t>
  </si>
  <si>
    <t>od toga:Glavni projekat uređenja korita potoka Ugar, Lukavčić i rijeke Turije, sredstva od Kantonalne uprave CZ po Odluci br. 18/01-14-030983/17 od 15.12.2017. sredstva doznačena u 2017.godini</t>
  </si>
  <si>
    <t>od toga: izgradnja rezervoara za pitku vodu u MZ Turija</t>
  </si>
  <si>
    <t>od toga: nastavak toplifikacije procedura javne nabavke pokrenuta 2016., doznačena sredstva u 2017.godini u iznosu 127.650KM</t>
  </si>
  <si>
    <t>6.Primljeni kapitalni transferi od kantona:
po programu ulaganja sreds.vodnih naknada u oblasti vodoprivrede za 2016.g. Po  saglasnosti vlade TK odluka br. 02/1-25-6517/16 od 22.03.2016.g. I br. 02/1-25-6517-3/16 od 26.04.2016.g. Za: "Regulac.riječnih vodotoka" iznos od 374.740KM i "izgradnja primar.distributivne mreže u naseljima Poljice Gornje i Puračić" za nefakturisani dio u iznosu od 65.811 KM, rezervoar za pitku vodu u Turija u iznosu od 90.000KM.</t>
  </si>
  <si>
    <t>od toga: povlačenje sredstava iz Kantona.
Ministars.poljopr.šumar.vodopr. po obavijesti br.04/1-25-11874/16 od 05.05.'16. iz sredst.vodnih naknada 2015.g. za projekte: "uređ.korita Spreče iznos 11.056,5KM; "regulac.Gnojničkog potoka iznos 10.988KM; "elaborat hitnih intervencija na rijeci Turiji" iznos 4.095KM";
"regulacija Kruševičkog potoka i dijela starog korita Spreče" iznos 10.471,5KM;
"Idejni projek.vodosnadb.naselja Devetak iznos 30.500KM, po planu 2016.g. i drugi.</t>
  </si>
  <si>
    <t>2.4.JAVNI POZIV za realizaciju projekta OCD, za kulturu, sport, očuvanje raznolikosti ekosistema kao očuvanje ribljeg fonda, poljoprivreda i socijalna zaštita  (nevladine organizacije, vatrogasna društva, udruženja penzinera i slično)</t>
  </si>
  <si>
    <t>od toga: ugovor sa Bašanovićem br.02-14-2033/17 od 15.09.'17, za opremanje vatrogasnog doma u iznosu 4.310 KM</t>
  </si>
  <si>
    <t>Preventivna zaštita od epifitija i epizootija životinja (antraks, bjesnilo i dr. zarazne bolesti)</t>
  </si>
  <si>
    <t>od toga: doznačena sredstva u 2016.godini od Kantonalne uprava civilne zaštite po Odluci br. 18/01-14-025412/16 od 28.10.2016.g. za uređenje poligona za obuku vatrogasacapo i Odluci br. 18/01-14-025450/16 od 28.10.2016.g. Za nabavku vatrogasne opreme, tehničkih i drugih sredstava za vatrogasne jedinice</t>
  </si>
  <si>
    <t>od toga: monitoring i zaštita rijeke Turije</t>
  </si>
  <si>
    <t>Sufinansiranje projekata zaštite okoliša</t>
  </si>
  <si>
    <t xml:space="preserve">4.3.16. Preventivna zaštita od epifitija i epizootija životinja, sufinansiranje projekata zaštite okoliša </t>
  </si>
  <si>
    <t>Subvencioniranje mjesečnih karata učenicima iz  socijalno ugroženih kategorija</t>
  </si>
  <si>
    <t>Sufinansiranje sporazuma o zajedničkoj imlementaciji projekta "Pro - Poso" u 2018.godini</t>
  </si>
  <si>
    <t>od toga: putem vijeća mladih i omladinskih organizacija</t>
  </si>
  <si>
    <t>Nagrade uspješnim  učenicima i i nastavnom osoblju</t>
  </si>
  <si>
    <t>od toga: komisija za pitanja mladih, kulturu i sport općinskog vijeća</t>
  </si>
  <si>
    <t>od toga:za prevenciju u borbi protiv teških i rijetkih bolesti</t>
  </si>
  <si>
    <t xml:space="preserve">Kapitalni transfer za JU RTL Lukavac -oprema </t>
  </si>
  <si>
    <t>Intervencije iz oblasti ekologije (divlje deponije, ostalo)</t>
  </si>
  <si>
    <t>Podrška zapošljavanju mladih, kroz 
organizovanje biznis startup centra 
Lokalna Akciona Grupa-LAG</t>
  </si>
  <si>
    <t xml:space="preserve">8.2. Usluge sistematskog pregleda </t>
  </si>
  <si>
    <t>8.3.Obilježavanje rizičnih miniranih površina</t>
  </si>
  <si>
    <t>8.4.Naknada za rad komisije za popis i procjenu šteta Općine Lukavac</t>
  </si>
  <si>
    <t>8.5.Naknada za rad članova štaba</t>
  </si>
  <si>
    <t xml:space="preserve">8.6. Izrada elaborata za sanaciju klizišta </t>
  </si>
  <si>
    <t>8.7.Finansiranje troš.učešća u provedbi mjera zaštite i spašavanja iz čl. 184.stav 1. tačka 2 Zakona o zaštiti i spašavanju
Ostalo u skladu sa čl.184.Zakona o zašt.i spašav.ljudi i materijal.dobara od prirodnih i drugih nesreća</t>
  </si>
  <si>
    <t>8.8.Obuka i vježbe struktura civilne zaštite u zemlji i inostranstvu</t>
  </si>
  <si>
    <t>8.9. Interventno čišćenje vodotoka (preventiva)</t>
  </si>
  <si>
    <t>8.10. Finansiranje hitnih mjera zaštite i spašavanja koje se moraju provoditi na spašavanju ugroženih ljudi i mater.dobara u toku djelov.prirodne ili dr. Nesreće, kao što su evakuacija, prihvatanje i zbrinjavanje ugrož.stanovniš. i imovine, osiguranje prometa.., sprečavanje širenja opasnosti od nepogoda i njihoih posljedica...
Faza saniranja i otklanjanja dijela šteta uzrokovanih prirodnom i dr. nesrećom</t>
  </si>
  <si>
    <t>8.11. Finansiranje hitnih mjera koje se provode na spašavanju ugroženih ljudi i mater.dobara ( saniranje dijela šteta nastalih prirodnom i dr. nesrećom na pojedinačnim lokalitetima nakon izvršene procjene komisije za procjenu šteta od prirodnih i drugih nesreća...
Faza saniranja i otklanjanja dijela šteta uzrokovanih prirodnom i dr. nesrećom</t>
  </si>
  <si>
    <t>8.12. Pružanje pomoći za ublažavanje i otklanjanje direktnih posljedica prirodnih i dr. Nesreća, nakon procjene šteta, provedbu zdravstvenih i higijensko-epidemioloških mjera (dezinf.dezinsek.i deratizacija), provedbu veterinanrskih mjera zaštite i mjera zaštite od biljnih bolesti i štetočina, te organizaciju minim.komunalnih potreba stanovništva do normalizacije života na ugroženom području</t>
  </si>
  <si>
    <t>8.13. Finansiranje i isplata naknade za rad  i neophodne troškove izlaska na teren komisije za procjenu šteta od prirodnih i drugih nesreća u skladu sa čl.9 Uredbe o jedinst.metodolog.za procj.šteta od prir.i dr. Nesreća</t>
  </si>
  <si>
    <t>4.3. Izdaci za usluge vještačenja</t>
  </si>
  <si>
    <t>4.5. Ostale usluge</t>
  </si>
  <si>
    <t>4.1.Usluge reprezentacije</t>
  </si>
  <si>
    <t>8.0. Usluge reprezentacije</t>
  </si>
  <si>
    <t>6.0.Usluge reprezentacije</t>
  </si>
  <si>
    <t>4.0.Usluge reprezentacije</t>
  </si>
  <si>
    <t>4.2.Usluge reprezentacije</t>
  </si>
  <si>
    <t>4.3. Usluge za stručno obrazovanje
(seminari, stručni ispiti i dr.str.uslu.)</t>
  </si>
  <si>
    <t>6.2. Stručne i revizorske usluge</t>
  </si>
  <si>
    <t>6.3. Izdaci za PDV</t>
  </si>
  <si>
    <t xml:space="preserve">Podsticaj mladima: 
</t>
  </si>
  <si>
    <t>Poticaj poljoprivrednoj proizvodnji</t>
  </si>
  <si>
    <t>od toga: izuzetna jednokratna pomoć za liječenje koje nije pokriveno zdravstvenim osiguranjem</t>
  </si>
  <si>
    <t xml:space="preserve">od toga: subjektima koji nisu obuhvaćeni Federalnim i Kantonalnim pravilnikom  </t>
  </si>
  <si>
    <r>
      <t xml:space="preserve">Sufinansiranje </t>
    </r>
    <r>
      <rPr>
        <i/>
        <sz val="12"/>
        <color rgb="FFFF0000"/>
        <rFont val="Arial"/>
        <family val="2"/>
        <charset val="238"/>
      </rPr>
      <t>izgradnje ili rekonstrukcije i sanacije</t>
    </r>
    <r>
      <rPr>
        <i/>
        <sz val="12"/>
        <rFont val="Arial"/>
        <family val="2"/>
        <charset val="238"/>
      </rPr>
      <t xml:space="preserve">stambenih objekata </t>
    </r>
    <r>
      <rPr>
        <i/>
        <sz val="12"/>
        <color rgb="FFFF0000"/>
        <rFont val="Arial"/>
        <family val="2"/>
        <charset val="238"/>
      </rPr>
      <t xml:space="preserve">lica u stanju </t>
    </r>
    <r>
      <rPr>
        <i/>
        <sz val="12"/>
        <rFont val="Arial"/>
        <family val="2"/>
        <charset val="238"/>
      </rPr>
      <t xml:space="preserve">socijalne </t>
    </r>
    <r>
      <rPr>
        <i/>
        <sz val="12"/>
        <color rgb="FFFF0000"/>
        <rFont val="Arial"/>
        <family val="2"/>
        <charset val="238"/>
      </rPr>
      <t>potrebe- PO JAVNOM POZIVU</t>
    </r>
  </si>
  <si>
    <t>6.4. Kapitalni transfer JU Dom Zdravlja za nabavku aparata,Sufinansiranje izgradnje regionalnog centra za osobe oboljele od autizma, Projekti poboljšanja životnog standarda ROMA,"Energijske efikasnosti na stambenim zgradama", JU RTL i Centar za kulturu, projektovanja obdaništa</t>
  </si>
  <si>
    <t>za period
I-XII/17</t>
  </si>
  <si>
    <t>3.2.Izdaci za mobilni telefon</t>
  </si>
  <si>
    <t>3.1. Izdaci za fiksnu telefoniju</t>
  </si>
  <si>
    <t>3.2. Usluge interneta za CZ-operativni centar</t>
  </si>
  <si>
    <t>3.3. Izdaci za mobilnu telefoniju</t>
  </si>
  <si>
    <t>3.4. Izdaci za vodu i kanalizaciju</t>
  </si>
  <si>
    <t>3.5. Izdaci za usluge odvoza smeća</t>
  </si>
  <si>
    <t>2.1. Izdaci za telefonske usluge</t>
  </si>
  <si>
    <t>od toga: za projekte u tekućoj godini</t>
  </si>
  <si>
    <t>Transfer za mjesne zajednice po broju stanovnika</t>
  </si>
  <si>
    <t xml:space="preserve">Nabavka kompjuterske opreme </t>
  </si>
  <si>
    <t>4.4. Zatezne kamate i troškovi spora (rezervisanja po Zakonu o izvršnom postupku), u toku realizacija presude Ministarstva TK</t>
  </si>
  <si>
    <t>2021</t>
  </si>
  <si>
    <t>Tekući grantovi za troškove prevoza boraca i članova njihovih porodica van područja TK.   (izvor -sredstva iz kantona)</t>
  </si>
  <si>
    <r>
      <t xml:space="preserve">Liječenje </t>
    </r>
    <r>
      <rPr>
        <i/>
        <sz val="12"/>
        <rFont val="Arial"/>
        <family val="2"/>
        <charset val="238"/>
      </rPr>
      <t>boraca i članova njihovih porodica  (izvor -sredstva iz kantona)</t>
    </r>
  </si>
  <si>
    <t>6.4. Ostale usluge</t>
  </si>
  <si>
    <t>R</t>
  </si>
  <si>
    <t>P</t>
  </si>
  <si>
    <t>0 1 1 0</t>
  </si>
  <si>
    <t>0 4 4 0</t>
  </si>
  <si>
    <t>od toga: naknada od korištenja zemljišta u cestovnom pojasu</t>
  </si>
  <si>
    <t>45.047KM-STANJE  septembar 2018</t>
  </si>
  <si>
    <t>368176KM-stanje oktobar2018.g.</t>
  </si>
  <si>
    <t>1.388.776KM-stanje oktobar2018.g.</t>
  </si>
  <si>
    <t>od toga: izrada  projekta uređenja poljoprivrednog zemljišta uz korito rijeke Turije do Milinog sela</t>
  </si>
  <si>
    <r>
      <t xml:space="preserve">C. </t>
    </r>
    <r>
      <rPr>
        <b/>
        <sz val="12"/>
        <color theme="1"/>
        <rFont val="Arial"/>
        <family val="2"/>
        <charset val="238"/>
      </rPr>
      <t>Finansiranje</t>
    </r>
  </si>
  <si>
    <t>KREDIT i 210000-GLAVNICA</t>
  </si>
  <si>
    <t>KREDIT 23822 ZA KAMATE -iz "Izvora budžeta"</t>
  </si>
  <si>
    <t>Član 1.</t>
  </si>
  <si>
    <t>Član 2.</t>
  </si>
  <si>
    <t xml:space="preserve">Izdaci za pokriće obaveza iz ranijih 
godina po osnovu kapitalnih i tekućih izdataka </t>
  </si>
  <si>
    <t>Rashodi i izdaci u budžetu, raspoređuju se po korisnicima kako slijedi:</t>
  </si>
  <si>
    <t>Član 4.</t>
  </si>
  <si>
    <t xml:space="preserve">      Budžetskim korisnicima, za koje u ovom budžetu nisu predviđena sredstva  ili su predviđena u nedovoljnom iznosu, a kod kojih se  ukaže neodložna potreba za sredstvima, predviđena su sredstva tekuće rezerve. 
      Sredstva tekuće rezerve odobrava općinski načelnik.</t>
  </si>
  <si>
    <t>2."Službenom glasniku",1x</t>
  </si>
  <si>
    <t>5. Arhivi.</t>
  </si>
  <si>
    <t>4. Službi za budžet i finansije,2x</t>
  </si>
  <si>
    <t>3. Općinskom načelniku,</t>
  </si>
  <si>
    <t xml:space="preserve">Sredstva nevladinim organizacijama u kategoriji sporazuma u partnerskim odnosima      </t>
  </si>
  <si>
    <t>Stipendije  i nabavka udžbenika i školskog pribora za učenike iz romske populacije
raniji naziv:Podrška edukaciji ROMA 
Nabavka udžbenika i školskog pribora, te stipendiranje učenika srednjoškolskog obrazovanja iz romske nacionalne manjine</t>
  </si>
  <si>
    <t>Izdaci za uređenje poljoprivred.zemljišta</t>
  </si>
  <si>
    <t>Nabavka softvera za ovjeru potpisa i rukopisa</t>
  </si>
  <si>
    <t>III Izdaci (1+2+3+4+5+6+7+8+9)</t>
  </si>
  <si>
    <t>4. Kapitalni grant od Federalnog minist.finans. -Odvodnja oborinskih i otpadnih voda u Gradu Lukavcu  Postrojenje za tretman otpadnih voda  Lukavac Grad sa prigradskim naseljima -</t>
  </si>
  <si>
    <t>RASHOD U CZ veći od raspoloživog stanja gotovine na računu "ublažav.poslj.element.nepogoda"</t>
  </si>
  <si>
    <t>4. Ministar. za poljop.šum. -
nakn.za prom.namj.poljop.zemlj. Planirano na 742114</t>
  </si>
  <si>
    <t>za toplifikaciju 277.000KM i projektovanje-100.000KM</t>
  </si>
  <si>
    <t>3.1. Kantonalna uprava za šumarstvo
- za razv.nerazv.dijelova općine</t>
  </si>
  <si>
    <t>3.2. Tek.grant.TK za BIZ- jedn.novč.pom. i troškovi prevoza</t>
  </si>
  <si>
    <t>3.3. Tekući grant TK za dobitnike najviših ratnih priznanja</t>
  </si>
  <si>
    <t>3.4. Tekući grant TK za troškove prevoza boračke populacije u svrhu liječenja van područja TK.a</t>
  </si>
  <si>
    <t>3.5.Tek.gr.TK za trošk.dženaza boraca i njihovih članova</t>
  </si>
  <si>
    <t>3.6.Sreds.od kantona za nabavku udžbenika</t>
  </si>
  <si>
    <t>3.7. Sreds.od kantona -jednokratne pomoći za duže liječenje</t>
  </si>
  <si>
    <t>8. Primljeni kapitalni transfer od TK Ministarstvo prostor.uređenja i  zaštite okolice, iz sredstava ekoloških naknada za projekat "Uklanjanje komunalnog otpada i nanosa iz korita potoka Lipovac, za sanaciju šteta od poplava iz 2014.g.". Sredstva doznačena 18.08.'16. izv.br.163/16</t>
  </si>
  <si>
    <t>9. Sredst.od Kantona za rješavanje stambene potreba boračke populacije</t>
  </si>
  <si>
    <t>10. Ministar. za poljop.šum. -
nakn.za prom.namj.poljop.zemlj.</t>
  </si>
  <si>
    <t>1.2. Upravljanje gubicima vode i rekonstrukcija mreže u vodoovod.sistemu Lukavac (dio sredstava EIB-a); 
ranije god.naziv: Investicija vodosnadbijevanja Lukavac Grada i prigradska naselja (ugovor sa EIB putem Federalnog minist.finans.)</t>
  </si>
  <si>
    <t>1.3. Regulacija riječnih vodotokova i bujičnih potoka
 Nastavak regulacije Lukavčića-ranije godine</t>
  </si>
  <si>
    <t xml:space="preserve">1.4. Uređenje i opremanje građevinskog zemljišta </t>
  </si>
  <si>
    <t>1.5. Odvodnja oborinskih i otpadnih voda u Gradu Lukavcu (dio ugovor sa EIB putem Federalnog minist.finans.)</t>
  </si>
  <si>
    <t>1.6. Postrojenje za tretman otpadnih voda  Lukavac Grad sa prigradskim naseljima -15000 EBS  ( dio sredstva iz kredita EIB-a dio iz sreds.budžeta) i oborinski kolektor - Centar 2 Lukavac</t>
  </si>
  <si>
    <t>1.7. Zaustavne brane oborinskih voda na brdu Doležal</t>
  </si>
  <si>
    <t>1.8. Odvodnja oborinskih i otpadnih voda u gradu Lukavac i na području općine Lukavac</t>
  </si>
  <si>
    <r>
      <t xml:space="preserve">1.10. Smanjenje vodnih gubitaka u Lukavcu i prigradskim naseljima
i izgradnja trase cjevovoda za dovod vode sa izvorišta Toplice </t>
    </r>
    <r>
      <rPr>
        <sz val="12"/>
        <color rgb="FFFF0000"/>
        <rFont val="Arial"/>
        <family val="2"/>
        <charset val="238"/>
      </rPr>
      <t>(naziv u prethodnoj godini:Revitalizacija AC cjevovoda Šićka Petlja-Doležal i smanjenje vodnih gubitaka)</t>
    </r>
  </si>
  <si>
    <t>1.11. Izrada studije za postrojenje za odvajanje čvrstog otpada  i proizvodnju RDF-a i procesiranje ostatka čvrstog otpada</t>
  </si>
  <si>
    <t>6.2. Modernizacija puta Turski Lukavac - Bistarac Donji, dionica II, ugovor br.02-14-374/18 26.01.'18, Rial-Šped Doboj Istok</t>
  </si>
  <si>
    <t>6.3. Građenje i rekonstrukcija gradskih, lokalnih i nerazvrstanih cesta i ulica</t>
  </si>
  <si>
    <t>4.2.5. Faza saniranja  posljedica uzrokovanih prirodnom i dr. nesrećom na području općine Lukavac ( budžetska sredstva)</t>
  </si>
  <si>
    <t>po IZVORIMA</t>
  </si>
  <si>
    <t>0 1 6 1</t>
  </si>
  <si>
    <t>0 4 2 0</t>
  </si>
  <si>
    <t>0 5 6 0</t>
  </si>
  <si>
    <t>3.Nabavka materijala (kancelarijski,obrasci i papir, kompjuterski, sitan inventar)-obilježavanje dana općine i ostalih općinskih jubileja,  općinska priznanja</t>
  </si>
  <si>
    <t>Savez općina i gradova FBIH - članarina</t>
  </si>
  <si>
    <t>4.1. Usluge reprezentacije</t>
  </si>
  <si>
    <t>4.2.Usluge objavljivanja tendera i oglasa</t>
  </si>
  <si>
    <t>4.4.Troškovi vještačenja</t>
  </si>
  <si>
    <t>4.5. Usluge korištenja signala baznih stanica</t>
  </si>
  <si>
    <t xml:space="preserve">Nabavka opreme </t>
  </si>
  <si>
    <t>od toga: za nabavku kamiona za transport pitke vodem (raniji naziv:cisterni, prikolica za vodu za strukture Z/S CZ
U 2017g.za nabavku terenskog motornog vozila  za opštinski štab CZ</t>
  </si>
  <si>
    <r>
      <t>Bruto plaće i naknade plaća  (4</t>
    </r>
    <r>
      <rPr>
        <sz val="12"/>
        <color rgb="FFFF0000"/>
        <rFont val="Arial"/>
        <family val="2"/>
        <charset val="238"/>
      </rPr>
      <t xml:space="preserve"> uposlena</t>
    </r>
    <r>
      <rPr>
        <sz val="12"/>
        <rFont val="Arial"/>
        <family val="2"/>
        <charset val="238"/>
      </rPr>
      <t>)</t>
    </r>
  </si>
  <si>
    <t>821594
011513</t>
  </si>
  <si>
    <t>porezi</t>
  </si>
  <si>
    <t>Softver za potpunu informatizaciju poslovanja ( e- uprava, trezorsko poslovanje, FUK modeliranje), ugovor broj 02-14-3091/18 od 19.10.2018.godine</t>
  </si>
  <si>
    <t>od toga: elektrifikacija</t>
  </si>
  <si>
    <t>od toga: elektromaterijal-pumpa Turija</t>
  </si>
  <si>
    <t>od toga:vodovodni priključci, ugovor 2018.g.</t>
  </si>
  <si>
    <t>od toga:prošir.ulič.rasvjete na području općine  Lukavac, ugovor 2018.g.</t>
  </si>
  <si>
    <t>od toga: bušotine bušotine, izrada elaborata, ugovor br.02-14-3396/18 Papago d.o.o. Iz 2018.g.</t>
  </si>
  <si>
    <t>od toga: bušotine , ugovor Obnova-KOP, Griming Doboj Istok broj 02-14-2984/18 iz 2018.g.</t>
  </si>
  <si>
    <t>od toga: bušotine Prokosovići, ugovor Minist.poljop.šum.TK iz 2018.g.</t>
  </si>
  <si>
    <t>od toga: bušotine Donja Dobošnica, ugovor ugovor Minist.poljop.šum.TK iz 2018.g.</t>
  </si>
  <si>
    <t>od toga: nerealizovani ugovori iz 2018.g: Mikom-ul.Patritskog fronta br. 21 na iznos 72.294KM planira se iznos 12.595KM; Vodoins za vrel.priključak crkva iznis 79.656,85KM i priključak "Arkade" iznos 5.199,89KM</t>
  </si>
  <si>
    <t>ODJELJENJE ZA INTERNU REVIZIJU</t>
  </si>
  <si>
    <t>SLUŽBA ZA URBANIZAM, PROSTORNO UREĐENJE I ZAŠTITU OKOLIŠA</t>
  </si>
  <si>
    <t xml:space="preserve">SLUŽBA ZA UPRAVU, DRUŠTVENE DJELATNOSTI, MLADE I BORAČKO-INVALIDSKU ZAŠTITU  </t>
  </si>
  <si>
    <t>SLUŽBA ZA ZAJEDNIČKE POSLOVE</t>
  </si>
  <si>
    <r>
      <t>Bruto plaće i naknade plaća  (2</t>
    </r>
    <r>
      <rPr>
        <sz val="12"/>
        <color rgb="FFFF0000"/>
        <rFont val="Arial"/>
        <family val="2"/>
        <charset val="238"/>
      </rPr>
      <t xml:space="preserve"> uposlena</t>
    </r>
    <r>
      <rPr>
        <sz val="12"/>
        <rFont val="Arial"/>
        <family val="2"/>
        <charset val="238"/>
      </rPr>
      <t>)</t>
    </r>
  </si>
  <si>
    <t>1.3. Transferi za klubove od posebnog značaja( NK Radnički i ostali značajni klubovi
 ( od 1.3.1 do 1.3.3)</t>
  </si>
  <si>
    <t>1.3.2. Ostali značajni klubovi</t>
  </si>
  <si>
    <t>JOB Unija veterana</t>
  </si>
  <si>
    <t>od toga: Izrada i postavljanje tabli i numeričkih brojeva u svrhu obilježavanja ulica na području općine Lukavac - prva faza</t>
  </si>
  <si>
    <t xml:space="preserve">od toga: drugi projekti u tekućoj godini
</t>
  </si>
  <si>
    <t>od toga: tranša</t>
  </si>
  <si>
    <t>3.8. UG "Vive žene" za sufinansiranje rada sigurne kuće</t>
  </si>
  <si>
    <r>
      <t xml:space="preserve">Transferi za mjesne zajednice                        </t>
    </r>
    <r>
      <rPr>
        <i/>
        <sz val="12"/>
        <rFont val="Arial"/>
        <family val="2"/>
        <charset val="238"/>
      </rPr>
      <t xml:space="preserve">(33 </t>
    </r>
    <r>
      <rPr>
        <i/>
        <sz val="11"/>
        <rFont val="Arial"/>
        <family val="2"/>
        <charset val="238"/>
      </rPr>
      <t>MZ</t>
    </r>
    <r>
      <rPr>
        <i/>
        <sz val="12"/>
        <rFont val="Arial"/>
        <family val="2"/>
        <charset val="238"/>
      </rPr>
      <t xml:space="preserve"> x 245</t>
    </r>
    <r>
      <rPr>
        <i/>
        <sz val="11"/>
        <rFont val="Arial"/>
        <family val="2"/>
        <charset val="238"/>
      </rPr>
      <t>KM/MZ)  PREDLOŽ.300KM*33MZ</t>
    </r>
  </si>
  <si>
    <t>2.3. Izgradnja  toplovodne mreže u ulici 8 mart i Pod</t>
  </si>
  <si>
    <t>12.Nabavka ostalih stalnih sredstava - opremanje stočnog groblja</t>
  </si>
  <si>
    <t>13.Ostali objekti - Izrada boksova za privremeni smještaj pasa</t>
  </si>
  <si>
    <t>14.Realizacija projekta sanacije i zatvaranja lokalne deponije "Potočari"</t>
  </si>
  <si>
    <t>15.Izrada katastra javne rasvjete</t>
  </si>
  <si>
    <t>16.Izrada katastra puteva - I faza</t>
  </si>
  <si>
    <t>17.Izrada projekta horizontalne i vertikalne signalizacije u gradu Lukavcu</t>
  </si>
  <si>
    <t>Izdaci (1+2+3+4+5+6+.....+17)</t>
  </si>
  <si>
    <t>POGLEDATI ZAŠTO 30.000 KM</t>
  </si>
  <si>
    <t>SLUŽBA ZA PRIVREDU, LOKALNI RAZVOJ I INSPEKCIJSKE POSLOVE</t>
  </si>
  <si>
    <t>SVEGA RAZDIO 1001:</t>
  </si>
  <si>
    <t>SVEGA 1105:</t>
  </si>
  <si>
    <t>SVEGA 1106:</t>
  </si>
  <si>
    <t>SVEGA 1107:</t>
  </si>
  <si>
    <t>SVEGA 1108:</t>
  </si>
  <si>
    <t>SVEGA 1109:</t>
  </si>
  <si>
    <t>SVEGA 1110:</t>
  </si>
  <si>
    <t>SVEGA 1101:</t>
  </si>
  <si>
    <t>SVEGA 1102:</t>
  </si>
  <si>
    <t>SVEGA 1103:</t>
  </si>
  <si>
    <t>SVEGA 1104:</t>
  </si>
  <si>
    <t>SVEGA 1111:</t>
  </si>
  <si>
    <t>SVEGA RAZDIO 11:</t>
  </si>
  <si>
    <t>SVEGA RAZDIO 13:</t>
  </si>
  <si>
    <t>3.1. Prihod od por.na doh.fiz.lica od nes.djel.</t>
  </si>
  <si>
    <t>3.2. Prihod od por.na doh.fiz.lica od sam.djel.</t>
  </si>
  <si>
    <t>3.3. Prihod od por.na doh.fiz.lica od imov.i im.</t>
  </si>
  <si>
    <t>3.3. Prihod od por.na doh.fiz.lica od ulag.kapit.</t>
  </si>
  <si>
    <t>3.4. Prihod od por.na doh.fiz.lica na dob.iga.</t>
  </si>
  <si>
    <t>3.5. Prihod od por.na doh.od dr.sam.djel.čl.12.</t>
  </si>
  <si>
    <t>3.6. Prihodi od por.na doh. po konačnom obračunu</t>
  </si>
  <si>
    <t>2.Potrošnja električne energije za uličnu rasvjetu</t>
  </si>
  <si>
    <t>2.1. Potrošnja el. energ. za uličnu rasvjetu</t>
  </si>
  <si>
    <t>2.2. Potrošnja el.energije za objekte u pripremi ( podstan.za proširenje toplifikacije i investiciju vodovoda)</t>
  </si>
  <si>
    <t>3.1. Vlastite komunalne usluge</t>
  </si>
  <si>
    <t>3.1.1. Izdaci za fiksnu telefoniju</t>
  </si>
  <si>
    <t>3.1.2. Izdaci za mobilnu telefoniju</t>
  </si>
  <si>
    <t>3.2. Zajednička komunalna potrošnja</t>
  </si>
  <si>
    <t>3.2.1. Higijena grada, naselja i zimska služba</t>
  </si>
  <si>
    <t>4.Nabavka materijala (kancelarijski,obrasci i papir, kompjuterski, sitan inventar)</t>
  </si>
  <si>
    <t>5. Tekuće održavanje</t>
  </si>
  <si>
    <t>5.1. Usluge održavanja cesta i drugih infrastrukturnih objekata</t>
  </si>
  <si>
    <t>5.2. Održavanje ulične rasvjete</t>
  </si>
  <si>
    <t>5.3. Ostale usluge opravke i održavanja spomen parka i spomen kosturnice</t>
  </si>
  <si>
    <t>6.1. Usluge reprezentacije</t>
  </si>
  <si>
    <t>6.2. Usluge za stručno obrazovanje
(seminari, stručni ispiti i dr.str.uslu.)</t>
  </si>
  <si>
    <t>6.3. Izdaci za finansiranje nužnih popravki na zajedničkim dijalovima i uređajima zgrada</t>
  </si>
  <si>
    <t>6.4. Naknada za najamninu za korištenje stana u okviru socijalno-neprofitnog stanovanja</t>
  </si>
  <si>
    <t xml:space="preserve">2.Podrška socioekonomskom uključivanju romske populacije u BiH putem obezbjeđenja stambenih jedinica i socijalnih mjera - </t>
  </si>
  <si>
    <t>3.1. za sportske objekate</t>
  </si>
  <si>
    <t>3.2. za objekte kulture</t>
  </si>
  <si>
    <t>3.3. za spomen obilježja</t>
  </si>
  <si>
    <t>3.4. za vodosnadbijevanje naselja</t>
  </si>
  <si>
    <t xml:space="preserve">3.5. ostali objekti i oprema: ambulante, škole, ostale javne ustanove i MZ </t>
  </si>
  <si>
    <t>3.6. odvodnja oborinskih i otpadnih voda u naseljima</t>
  </si>
  <si>
    <t xml:space="preserve">3.7. Podrška vjerskim zajednicama </t>
  </si>
  <si>
    <t>3.7.1. za Islamsku zajednicu</t>
  </si>
  <si>
    <t>3.7.2. za gradnju Islamskog centra u gradu</t>
  </si>
  <si>
    <t>3.7.3. za Katoličku crkvu</t>
  </si>
  <si>
    <t>3.7.4. za zaštitu objekta katoličke crkve</t>
  </si>
  <si>
    <t>3.7.5. za Pravoslavnu crkvu</t>
  </si>
  <si>
    <t>3.7.6. za izgradnju objekata Pravoslavne crkve</t>
  </si>
  <si>
    <t>3.7.7. uređenje ograde Pravoslavnog groblja u Puračiću</t>
  </si>
  <si>
    <t xml:space="preserve">4. Kapitalni transfer JU Dom Zdravlja  Lukavac  
</t>
  </si>
  <si>
    <t>5. Subvencija za poboljšanje energijske efikasnosti i poboljšanje ekoloških uslova (naziv u 2017.g.-Kapitalni transfer za projekat "Energijske efikasnosti na stambenim zgradama")</t>
  </si>
  <si>
    <t>8. Kapitalni transfer JP Željeznice Federacije- projekat pružni prelaz</t>
  </si>
  <si>
    <t>9. Projektovanje i I faza izgradnje obdaništa</t>
  </si>
  <si>
    <t>4.3. Rad komisija za tehnički pregled objekata</t>
  </si>
  <si>
    <t>10. Projektovanje i nabavka video i ostale opreme za izgradnju platforme Smart City</t>
  </si>
  <si>
    <t xml:space="preserve">11.Rekonstrukcija općinskih objekata u vlasništvu općine Lukavac </t>
  </si>
  <si>
    <t>R. br.</t>
  </si>
  <si>
    <t>Funk. kod</t>
  </si>
  <si>
    <t>Opis</t>
  </si>
  <si>
    <t xml:space="preserve">Budžet/
finansijski plan - izmjene i dopune </t>
  </si>
  <si>
    <t>Ukupni rashodi (zbir funkcija) (2+11+17+24+34+41+48+55+62+71)</t>
  </si>
  <si>
    <t>01</t>
  </si>
  <si>
    <t>Opšte javne usluge       (3+…..+10)</t>
  </si>
  <si>
    <t>011</t>
  </si>
  <si>
    <t>Izvršni i zakonodavni organi, finansijski i fiskalni poslovi, spoljni poslovi</t>
  </si>
  <si>
    <t>012</t>
  </si>
  <si>
    <t>Strana ekonomska pomoć</t>
  </si>
  <si>
    <t>013</t>
  </si>
  <si>
    <t>Opće usluge</t>
  </si>
  <si>
    <t>014</t>
  </si>
  <si>
    <t>Osnovno istraživanje</t>
  </si>
  <si>
    <t>015</t>
  </si>
  <si>
    <t>IiR Opće javne usluge</t>
  </si>
  <si>
    <t>016</t>
  </si>
  <si>
    <t>Opće javne usluge n. k.</t>
  </si>
  <si>
    <t>017</t>
  </si>
  <si>
    <t xml:space="preserve">Transakcije vezane za javni dug </t>
  </si>
  <si>
    <t>018</t>
  </si>
  <si>
    <t>Transferi opšteg karaktera između različitih nivoa vlasti</t>
  </si>
  <si>
    <t>02</t>
  </si>
  <si>
    <t>Odbrana      (12+….+16)</t>
  </si>
  <si>
    <t>021</t>
  </si>
  <si>
    <t>Vojna odbrana</t>
  </si>
  <si>
    <t>022</t>
  </si>
  <si>
    <t>Civilna odbrana</t>
  </si>
  <si>
    <t>023</t>
  </si>
  <si>
    <t>Inostrana  vojna pomoć</t>
  </si>
  <si>
    <t>024</t>
  </si>
  <si>
    <t>IiR Odbrana</t>
  </si>
  <si>
    <t>025</t>
  </si>
  <si>
    <t>Odbrana n. k.</t>
  </si>
  <si>
    <t>03</t>
  </si>
  <si>
    <t>Javni red i sigurnost       (18+….+23)</t>
  </si>
  <si>
    <t>031</t>
  </si>
  <si>
    <t>Policijske usluge</t>
  </si>
  <si>
    <t>032</t>
  </si>
  <si>
    <t xml:space="preserve">Usluge protivpožarne zaštite </t>
  </si>
  <si>
    <t>033</t>
  </si>
  <si>
    <t>Sudovi</t>
  </si>
  <si>
    <t>034</t>
  </si>
  <si>
    <t>Zatvori</t>
  </si>
  <si>
    <t>035</t>
  </si>
  <si>
    <t>IiR  Javni red i sigurnost</t>
  </si>
  <si>
    <t>036</t>
  </si>
  <si>
    <t>Javni red i sigurnost n. k.</t>
  </si>
  <si>
    <t>04</t>
  </si>
  <si>
    <t>Ekonomski poslovi    (25+….+33)</t>
  </si>
  <si>
    <t>041</t>
  </si>
  <si>
    <t>Opći ekonomski, komercijalni i poslovi po pitanju rada</t>
  </si>
  <si>
    <t>042</t>
  </si>
  <si>
    <t>Poljoprivreda, šumarstvo, lov i ribolov</t>
  </si>
  <si>
    <t>043</t>
  </si>
  <si>
    <t>Gorivo i energija</t>
  </si>
  <si>
    <t>044</t>
  </si>
  <si>
    <t xml:space="preserve">Rudarstvo, proizvodnja i izgradnja </t>
  </si>
  <si>
    <t>045</t>
  </si>
  <si>
    <t>Transport</t>
  </si>
  <si>
    <t>046</t>
  </si>
  <si>
    <t>Komunikacije</t>
  </si>
  <si>
    <t>047</t>
  </si>
  <si>
    <t>Ostale industrije</t>
  </si>
  <si>
    <t>048</t>
  </si>
  <si>
    <t>IiR Ekonomski poslovi</t>
  </si>
  <si>
    <t>049</t>
  </si>
  <si>
    <t>Ekonomski poslovi n. k.</t>
  </si>
  <si>
    <t>05</t>
  </si>
  <si>
    <t>Zaštita životne sredine      (35+…..+40)</t>
  </si>
  <si>
    <t>051</t>
  </si>
  <si>
    <t xml:space="preserve">Upravljanje otpadom </t>
  </si>
  <si>
    <t>052</t>
  </si>
  <si>
    <t>Upravljanje otpadnim vodama</t>
  </si>
  <si>
    <t>053</t>
  </si>
  <si>
    <t>Smanjenje zagađenosti</t>
  </si>
  <si>
    <t>054</t>
  </si>
  <si>
    <t>Zaštita raznovrsnosti flore i faune i zaštita krajolika</t>
  </si>
  <si>
    <t>055</t>
  </si>
  <si>
    <r>
      <t>IiR Zaštita životne sredine</t>
    </r>
    <r>
      <rPr>
        <sz val="11"/>
        <rFont val="Arial"/>
        <family val="2"/>
        <charset val="238"/>
      </rPr>
      <t xml:space="preserve"> </t>
    </r>
  </si>
  <si>
    <t>056</t>
  </si>
  <si>
    <t>Zaštita životne sredine n. k.</t>
  </si>
  <si>
    <t>06</t>
  </si>
  <si>
    <t>Stambeni i zajednički poslovi    (42+….+47)</t>
  </si>
  <si>
    <t>061</t>
  </si>
  <si>
    <t>Stambeni razvoj</t>
  </si>
  <si>
    <t>062</t>
  </si>
  <si>
    <t>Razvoj zajednice</t>
  </si>
  <si>
    <t>063</t>
  </si>
  <si>
    <t>Vodosnabdijevanje</t>
  </si>
  <si>
    <t>064</t>
  </si>
  <si>
    <t>Ulična rasvjeta</t>
  </si>
  <si>
    <t>065</t>
  </si>
  <si>
    <t>IiR Stambeni i zajednički poslovi</t>
  </si>
  <si>
    <t>066</t>
  </si>
  <si>
    <t>Stambeni i zajednički poslovi n. k.</t>
  </si>
  <si>
    <t>07</t>
  </si>
  <si>
    <t>Zdravstvo    (49+….+54)</t>
  </si>
  <si>
    <t>071</t>
  </si>
  <si>
    <t>Medicinski proizvodi, uređaji i oprema</t>
  </si>
  <si>
    <t>072</t>
  </si>
  <si>
    <t>Vanbolničke usluge</t>
  </si>
  <si>
    <t>073</t>
  </si>
  <si>
    <t>Bolničke usluge</t>
  </si>
  <si>
    <t>074</t>
  </si>
  <si>
    <t>Usluge zdravstvene zaštite</t>
  </si>
  <si>
    <t>075</t>
  </si>
  <si>
    <t>IiR Zdravstvo</t>
  </si>
  <si>
    <t>076</t>
  </si>
  <si>
    <t>Zdravstvo n. k.</t>
  </si>
  <si>
    <t>08</t>
  </si>
  <si>
    <t>Rekreacija, kultura i religija     (56+….+61)</t>
  </si>
  <si>
    <t>081</t>
  </si>
  <si>
    <t>Usluge sporta i rekreacije</t>
  </si>
  <si>
    <t>082</t>
  </si>
  <si>
    <t xml:space="preserve">Usluge kulture </t>
  </si>
  <si>
    <t>083</t>
  </si>
  <si>
    <r>
      <t>Usluge emitovanja i izdavaštva</t>
    </r>
    <r>
      <rPr>
        <sz val="11"/>
        <rFont val="Arial"/>
        <family val="2"/>
        <charset val="238"/>
      </rPr>
      <t xml:space="preserve"> </t>
    </r>
  </si>
  <si>
    <t>084</t>
  </si>
  <si>
    <r>
      <t>Religijske i druge zajedničke usluge</t>
    </r>
    <r>
      <rPr>
        <sz val="11"/>
        <rFont val="Arial"/>
        <family val="2"/>
        <charset val="238"/>
      </rPr>
      <t xml:space="preserve"> </t>
    </r>
  </si>
  <si>
    <t>085</t>
  </si>
  <si>
    <t>IiR Rekreacija, kultura i religija</t>
  </si>
  <si>
    <t>086</t>
  </si>
  <si>
    <t>Rekreacija, kultura i religija n. k.</t>
  </si>
  <si>
    <t>09</t>
  </si>
  <si>
    <t>Obrazovanje         (63+…..+70)</t>
  </si>
  <si>
    <t>091</t>
  </si>
  <si>
    <t>Predškolsko i osnovno obrazovanje</t>
  </si>
  <si>
    <t>092</t>
  </si>
  <si>
    <t>Srednje obrazovanje</t>
  </si>
  <si>
    <t>093</t>
  </si>
  <si>
    <t>Obrazovanje poslije srednje škole koje nije visoko obrazovanje</t>
  </si>
  <si>
    <t>094</t>
  </si>
  <si>
    <t>Visoko obrazovanje</t>
  </si>
  <si>
    <t>095</t>
  </si>
  <si>
    <t>Obrazovanje koje nije definisano nivoom</t>
  </si>
  <si>
    <t>096</t>
  </si>
  <si>
    <t>Pomoćne usluge obrazovanju</t>
  </si>
  <si>
    <t>097</t>
  </si>
  <si>
    <t>IiR Obrazovanje</t>
  </si>
  <si>
    <t>098</t>
  </si>
  <si>
    <t>Obrazovanje n. k.</t>
  </si>
  <si>
    <t>10</t>
  </si>
  <si>
    <t>Socijalna zaštita      (72+…..+80)</t>
  </si>
  <si>
    <t>101</t>
  </si>
  <si>
    <t>Bolest i hendikepiranost</t>
  </si>
  <si>
    <t>102</t>
  </si>
  <si>
    <t>Starost</t>
  </si>
  <si>
    <t>103</t>
  </si>
  <si>
    <t>Nasljednici</t>
  </si>
  <si>
    <t>104</t>
  </si>
  <si>
    <t>Porodica i djeca</t>
  </si>
  <si>
    <t>105</t>
  </si>
  <si>
    <t>Nezaposlenost</t>
  </si>
  <si>
    <t>106</t>
  </si>
  <si>
    <t>Stanovanje</t>
  </si>
  <si>
    <t>107</t>
  </si>
  <si>
    <t>Socijalno isključenje n. k.</t>
  </si>
  <si>
    <t>108</t>
  </si>
  <si>
    <t>IiR Socijalna zaštita</t>
  </si>
  <si>
    <t>109</t>
  </si>
  <si>
    <t>Socijalna zaštita n. k.</t>
  </si>
  <si>
    <t>0 4 5 0</t>
  </si>
  <si>
    <t>NESLAŽE SE, uključeno na funkcionalni 011 IZNOS 4.500KM</t>
  </si>
  <si>
    <r>
      <t xml:space="preserve">614234
</t>
    </r>
    <r>
      <rPr>
        <sz val="12"/>
        <color rgb="FFFF0000"/>
        <rFont val="Arial"/>
        <family val="2"/>
        <charset val="238"/>
      </rPr>
      <t>614239</t>
    </r>
  </si>
  <si>
    <t>MIJENJAT EKONOMSKI KOD NA 614234</t>
  </si>
  <si>
    <t xml:space="preserve">5.Tekuće održavanje programa data-nova </t>
  </si>
  <si>
    <t>izmijenjen naziv</t>
  </si>
  <si>
    <t>Subvencija za prevoz putnika</t>
  </si>
  <si>
    <t xml:space="preserve">Softver za geoinformacioni sistem-GIS, ugovor 02-14-3248/18 od 31.10.2018.godine sa Gauss doo Tuzla </t>
  </si>
  <si>
    <t>za stolice i stolove</t>
  </si>
  <si>
    <t>(9.000+7.000)</t>
  </si>
  <si>
    <t>(9.000+5.000)</t>
  </si>
  <si>
    <t>dodaj tekst: "i ostale nepredviđene intervencije u vezi sa liječenjem</t>
  </si>
  <si>
    <t>Novo Rebalans II -5.000 (23)</t>
  </si>
  <si>
    <t>Novo Rebalans II za OV -15.000 (22)</t>
  </si>
  <si>
    <t>Kapitalni transfer za JU Centar za kulturu Lukavac za uređenje objekta-platoa</t>
  </si>
  <si>
    <t>OVDJE -Završeno</t>
  </si>
  <si>
    <t>10. Kapitalni transfer za uređenje platoa Centra za kulturu</t>
  </si>
  <si>
    <t>Novo Rebalans II -50.000 (26)</t>
  </si>
  <si>
    <t>Novo Rebalans II   5.000 (23)</t>
  </si>
  <si>
    <t>Sredstva za nevladin sektor - OCD                   (raspoređuju se na pozicije od 1 do 3)</t>
  </si>
  <si>
    <t xml:space="preserve">3. Ostali infrastr.objekti i oprema po MZ:
</t>
  </si>
  <si>
    <t>Novo Rebalans II za OV -15.000 (26))</t>
  </si>
  <si>
    <t xml:space="preserve">  Amandm.-3.000</t>
  </si>
  <si>
    <t>Amandm -1.000</t>
  </si>
  <si>
    <t>Amandm    -500</t>
  </si>
  <si>
    <t>Amandm -2.000</t>
  </si>
  <si>
    <t>Amandm  -2.000</t>
  </si>
  <si>
    <t>Rebalans  12.000   (NOVA POZICIJA)</t>
  </si>
  <si>
    <t>3.9. Udruženje altruista "Ruke prijateljstva"</t>
  </si>
  <si>
    <t>4.3.9.1. Udruženje altruista "Ruke prijateljstva"</t>
  </si>
  <si>
    <r>
      <t>207+208+209+210+212+213+214+215+</t>
    </r>
    <r>
      <rPr>
        <b/>
        <i/>
        <u/>
        <sz val="14"/>
        <color rgb="FFFF0000"/>
        <rFont val="Arial Black"/>
        <family val="2"/>
        <charset val="238"/>
      </rPr>
      <t>216</t>
    </r>
  </si>
  <si>
    <t>U ZBIRU KUPIO POZICIJU 3.8.UG VIVA ŽENE U IZNOSU 5.000KM</t>
  </si>
  <si>
    <t>GREŠKA U PRVOBITNOM BUDŽETU KUPIO U ZBIRU "JOB UNIJA VETERANA" IZNOS OD 4.500KM, što znači da je budžet u neravnoteži - višak prihoda za 4.500KM</t>
  </si>
  <si>
    <t>Otplate stranim finansijskim institucijama</t>
  </si>
  <si>
    <t>Otplata kredita domaćim i stranim finansijskim institucijama
(za kapitalno investiranja iz 2012.godine)</t>
  </si>
  <si>
    <r>
      <t xml:space="preserve">PLAN
 za 2020.g.
</t>
    </r>
    <r>
      <rPr>
        <sz val="10"/>
        <rFont val="Arial"/>
        <family val="2"/>
        <charset val="238"/>
      </rPr>
      <t>(9+10+11+12)</t>
    </r>
  </si>
  <si>
    <t>PLAN ZA NAREDNE 2 GODINE
2021               2022</t>
  </si>
  <si>
    <r>
      <t>Bruto plaće i naknade plaća (7</t>
    </r>
    <r>
      <rPr>
        <sz val="12"/>
        <color rgb="FFFF0000"/>
        <rFont val="Arial"/>
        <family val="2"/>
        <charset val="238"/>
      </rPr>
      <t xml:space="preserve"> uposlenih</t>
    </r>
    <r>
      <rPr>
        <sz val="12"/>
        <rFont val="Arial"/>
        <family val="2"/>
        <charset val="238"/>
      </rPr>
      <t>)</t>
    </r>
  </si>
  <si>
    <r>
      <t>Bruto plaće i naknade plaća (</t>
    </r>
    <r>
      <rPr>
        <sz val="12"/>
        <color rgb="FFFF0000"/>
        <rFont val="Arial"/>
        <family val="2"/>
        <charset val="238"/>
      </rPr>
      <t>14 uposlenih</t>
    </r>
    <r>
      <rPr>
        <sz val="12"/>
        <rFont val="Arial"/>
        <family val="2"/>
        <charset val="238"/>
      </rPr>
      <t>)</t>
    </r>
  </si>
  <si>
    <t>PLAN ZA 2020</t>
  </si>
  <si>
    <t>2022</t>
  </si>
  <si>
    <t xml:space="preserve">Transfer za izbore:
</t>
  </si>
  <si>
    <t>Izdaci</t>
  </si>
  <si>
    <t>Prihodi</t>
  </si>
  <si>
    <t>2020.god.
(6+7+8+9)</t>
  </si>
  <si>
    <t xml:space="preserve">Plan za </t>
  </si>
  <si>
    <t>2019.godinu</t>
  </si>
  <si>
    <t xml:space="preserve">5.2. Protokolarne aktivnosti 
</t>
  </si>
  <si>
    <t>5.3. Naknada za rad u komisijama imenovanim od strane općinskog načelnika u skladu sa Zakonom</t>
  </si>
  <si>
    <t>5.4. Usluge za stručno obrazovanje
(seminari, stručni ispiti i dr.stručne usluge)</t>
  </si>
  <si>
    <t>5.5. Usluge sistematskog pregleda</t>
  </si>
  <si>
    <t>5.6. Posebna naknada 0,5% za nesreće na radu (na plate svih uposlenih)</t>
  </si>
  <si>
    <t>5.7. Provedba ISO-standarda i ostalih 
projekata za poboljšanje rada u organu uprave</t>
  </si>
  <si>
    <t>5.8. Ostale usluge</t>
  </si>
  <si>
    <t>4.5.2. Subvencije za prevoz putnika</t>
  </si>
  <si>
    <t>7. Kamata na pozajmice od domaćih i inostranih finansijsk.institucija</t>
  </si>
  <si>
    <t>A.   Ukupni prihodi (I+II+III+IV)</t>
  </si>
  <si>
    <t>Ukupni prihodi, primici, finansiranje i neutrošeni prihodi preth.god. (A+B+C+D)</t>
  </si>
  <si>
    <t>4.1. Nabavka cvijetnih aranžmana</t>
  </si>
  <si>
    <t>Ostala kancelarijska oprema - kopir aparat i dr.</t>
  </si>
  <si>
    <t>6.7.  Održavanje vozila</t>
  </si>
  <si>
    <t>6.8. Pranje, vulkaniziranje i zamjena guma na motornim vozilima</t>
  </si>
  <si>
    <t>U službi zajedničkih poslova planirana nabavka cvijeća zato umanjena reprezentacija</t>
  </si>
  <si>
    <t>Izvor "cestovne naknade" pokrivaju puteve održavanje i investicije</t>
  </si>
  <si>
    <t>Nedostatak novčanih sredstava, isključen iznos od 150.000KM Smart City</t>
  </si>
  <si>
    <t>0,5%nesreće</t>
  </si>
  <si>
    <t>skloništa</t>
  </si>
  <si>
    <t xml:space="preserve">  za
2020.god.</t>
  </si>
  <si>
    <t>NEGATIVAN FINANSIJSKI REZULTAT, TO JEST DIO DEFICITA FINANSIRAN JE IZ VIŠKA PRIHODA NAD RASHODIMA sa 31.12.2019. g (suficit iz ranijih godina)</t>
  </si>
  <si>
    <t xml:space="preserve">BUDŽET OPĆINE LUKAVAC ZA  2020. godinu, SA OKVIRNIM PLANOM ZA 2021 i 2022.godinu </t>
  </si>
  <si>
    <t>8. Tekuća rezerva</t>
  </si>
  <si>
    <t>II  Tekući rashodi (1+2+2.1+3+4+5+6+7+8)</t>
  </si>
  <si>
    <t>IV  IZDACI ZA OTPLATE DUGOVA</t>
  </si>
  <si>
    <t>I  Ukupni rashodi i izdaci (II+III+IV)</t>
  </si>
  <si>
    <t xml:space="preserve">Izvršenje za </t>
  </si>
  <si>
    <t>2018.godinu</t>
  </si>
  <si>
    <t>2019.god</t>
  </si>
  <si>
    <t>za 2018.god</t>
  </si>
  <si>
    <t xml:space="preserve">Izvršenje  </t>
  </si>
  <si>
    <t>1. Primljeni grant od države- Troškovi izbora</t>
  </si>
  <si>
    <r>
      <t xml:space="preserve">od toga: subvencioniranje poljoprivrede kroz kamate na kreditna sredstva                </t>
    </r>
    <r>
      <rPr>
        <i/>
        <sz val="12"/>
        <color theme="2"/>
        <rFont val="Arial"/>
        <family val="2"/>
        <charset val="238"/>
      </rPr>
      <t xml:space="preserve">     Razvojne banke</t>
    </r>
  </si>
  <si>
    <t>Izvršenje</t>
  </si>
  <si>
    <t xml:space="preserve">  za
2018.god.</t>
  </si>
  <si>
    <t xml:space="preserve">  za
2019.god.</t>
  </si>
  <si>
    <t>izmjene</t>
  </si>
  <si>
    <t>2021.god</t>
  </si>
  <si>
    <t>2022.god</t>
  </si>
  <si>
    <t>150.000KM je kredit, 300.000KM je grant</t>
  </si>
  <si>
    <t>510.000KM je kredit, 700.000KM je grant</t>
  </si>
  <si>
    <t>kredit 100.000KM i 1.000.000KM  grant</t>
  </si>
  <si>
    <t>ISPRAVKA 24.07.02019. ZBOG POZICIJA Fabrika vode i Fabrika čvrstog otpada</t>
  </si>
  <si>
    <t>ISPRAVKA 24.07.02019. ZBOG POZICIJA Fabrika vode i Fabrika čvrstog otpada plus 20000 u 2021.godini minus 130.000KM i 2022.godini minus 200.000KM</t>
  </si>
  <si>
    <t>8.10. Održavanje WEB starnice</t>
  </si>
  <si>
    <t>Prebačeno u službu zajedničkih poslova "održavanje web stranice"</t>
  </si>
  <si>
    <t>TRAŽITI SAGLASNOST POMOĆNIKA SLUŽBE ZAJEDNIČKIH POSLOVA</t>
  </si>
  <si>
    <t>PRIJEDLOG SLUŽBE ZA INVESTICIJE... OD AUGUSTA 2019.</t>
  </si>
  <si>
    <t>398.974,97 KM PRAVOBRANILAŠTVO PLANIRA U SVOM DOPISU  15.08.2019.g.</t>
  </si>
  <si>
    <t>od toga: naknade za slučaj smrti uposlenik ili članova njegove uže porodice</t>
  </si>
  <si>
    <t>6.5.Tekuće održavanje zgrade</t>
  </si>
  <si>
    <t xml:space="preserve">6.6. Tekuće održavanje opreme </t>
  </si>
  <si>
    <t>6.9. Ostale usluge opravki i održavanja opreme</t>
  </si>
  <si>
    <t xml:space="preserve">4.Tekuće održavanje </t>
  </si>
  <si>
    <t xml:space="preserve">2. Nabavka opreme </t>
  </si>
  <si>
    <t>3. Nabavka GPS uređaja, uz nabvku licence za korištenje baznih stanica od Federalne uprave za geodetske i imovinsko pravne poslove za stari GPS</t>
  </si>
  <si>
    <t xml:space="preserve">Izrada regulacionih planova i Urbanističkih projekata </t>
  </si>
  <si>
    <t>8. Izdaci za osiguranje zaposlenih</t>
  </si>
  <si>
    <t>9. Ugovorene usluge</t>
  </si>
  <si>
    <t>9.1. Usluge za stručno obrazovanje
(seminari, stručni ispiti i dr.str.uslu.)</t>
  </si>
  <si>
    <t>9.2.Usluge reprezentacije</t>
  </si>
  <si>
    <t>9.3. Usluge objavljivanja tendera i oglasa</t>
  </si>
  <si>
    <t>1.2.Memorijalni turniri</t>
  </si>
  <si>
    <t>2.1.Podrška KUD-a i JU u oblasti kulture</t>
  </si>
  <si>
    <t>2.2.Vanredni projekti za nevladin sektor i mjesne zajednice
raniji naziv:Dani općine Lukavac i manifestacije od općeg interesa u skladu sa Odlukom i kriterijima o manifestacijama</t>
  </si>
  <si>
    <t>2.3.Memorijali ( JU Biblioteka, JU Centar za kulturu i JU RTL)</t>
  </si>
  <si>
    <t>2.5. Ostali sadržaji u oblasti kulture</t>
  </si>
  <si>
    <t>od toga: sredstva za socijalne pomoći</t>
  </si>
  <si>
    <t>od toga: sredstva za pomoć pojedincima u stanju potrebe
 bolničko liječenje i osiguranje neosiguranih lica općine Lukavac</t>
  </si>
  <si>
    <t>od toga: liječenje i osiguranje neosiguranih lica općine Lukavac i ostale nepredviđene intervencije u vezi sa liječenjem
implementacija projekta prevencije maloljetničkog  prestupništva(socijalno neprihvatljivog ponašanja kod djece i mladih)</t>
  </si>
  <si>
    <t>od toga: za rad vijeća mladih općine Lukavac</t>
  </si>
  <si>
    <t>od toga: tekuće komunalije</t>
  </si>
  <si>
    <t xml:space="preserve">SLUŽBA ZA KOMUNALNO-STAMBENE POSLOVE </t>
  </si>
  <si>
    <t>Kapitalni transfer za JU Centar za kulturu Lukavac
nabavka opreme za rekreaciju</t>
  </si>
  <si>
    <t>SVEGA 1112:</t>
  </si>
  <si>
    <t>4. Subvencija JP "Rad" Lukavac za učešće u investiciji izgrađenog  toplovoda od strane Elektroprivrede BiH, kroz kapitalna ulaganja</t>
  </si>
  <si>
    <t>5. Kapitalni transfer JP "Rad" Lukavac
(u ranijim godinama naziv: za uređenje prostora deponije za odlaganje otpada u MZ Huskići)</t>
  </si>
  <si>
    <t>9. Nabavka opreme ( aparata za naplatu parkinga i dr)</t>
  </si>
  <si>
    <t>Nalazi se i u Investicijama i Stamb.kmunalnoj službi</t>
  </si>
  <si>
    <t>9. Nabavka opreme (elektronske opreme KAMERE -video nadzor na raskrsnicama, parkovima i dr)</t>
  </si>
  <si>
    <t>SLUŽBA ZA INVESTICIJE I POSLOVE MJESNIH ZAJEDNICA</t>
  </si>
  <si>
    <t>6.Akumulirana sredstva  iz 2019.godine - neutrošeni prihodi</t>
  </si>
  <si>
    <t>Prilog 1</t>
  </si>
  <si>
    <t>ORGANIZACIJSKA KLASIFIKACIJA</t>
  </si>
  <si>
    <t>Razdjel-
potrošačka jedinica</t>
  </si>
  <si>
    <t>Naziv organizacije</t>
  </si>
  <si>
    <t>Naknade skupštinskih zastupnika</t>
  </si>
  <si>
    <t>Materijalni 
troškovi
i usluge</t>
  </si>
  <si>
    <t>Tekući 
transferi</t>
  </si>
  <si>
    <t>Kapitalni 
grantovi</t>
  </si>
  <si>
    <t>Nabavka 
stalnih sred.</t>
  </si>
  <si>
    <t>Tekuća rezerva</t>
  </si>
  <si>
    <t>Izmirenje obaveza iz preth.godina, 
povrat kredita sa kamatama</t>
  </si>
  <si>
    <t>UKUPNO</t>
  </si>
  <si>
    <t>Općinsko vijeće</t>
  </si>
  <si>
    <t>Stručna služba općinskog vijeća</t>
  </si>
  <si>
    <t>Stručna služba općinskog načelnika</t>
  </si>
  <si>
    <t>Služba za budžet i finansije</t>
  </si>
  <si>
    <t>Služba za opću upravu, privredu i 
društvene djelatnosti</t>
  </si>
  <si>
    <t>Služba za geodetske i imovinsko - pravne poslove</t>
  </si>
  <si>
    <t>Služba civilne zaštite</t>
  </si>
  <si>
    <t>13-131</t>
  </si>
  <si>
    <t>Općinsko pravobranilaštvo</t>
  </si>
  <si>
    <t>UVEĆATI ZA OPREMANJE SALE U MUP-u, izeta 01.11.2019.godine načelnik traži</t>
  </si>
  <si>
    <t>3.3. Usluge interneta za općinu</t>
  </si>
  <si>
    <t>3.5. Izdaci usluga odvoza smeća</t>
  </si>
  <si>
    <t>9.4. Usluge sistematskog pregleda</t>
  </si>
  <si>
    <t>9.5.Izdaci za volonterski rad (volonteri angažovani u općini po programu dugotrajnog volontiranja)</t>
  </si>
  <si>
    <t>9.7. Izdaci za volontere za osiguranje za slučaj ozljede na radu i profesionalne bolesti</t>
  </si>
  <si>
    <t>9.8. Provedba ISO-standarda i ostalih 
projekata za poboljšanje rada u organu uprave</t>
  </si>
  <si>
    <r>
      <t xml:space="preserve">9.9. Usluge testiranje ugrađenog alarmnog sistema i vatrogasne dojave
</t>
    </r>
    <r>
      <rPr>
        <i/>
        <sz val="12"/>
        <color rgb="FFFFFF00"/>
        <rFont val="Arial"/>
        <family val="2"/>
        <charset val="238"/>
      </rPr>
      <t xml:space="preserve">tehničke zaštite zgrade općine Lukavac i </t>
    </r>
  </si>
  <si>
    <t>9.10.Izrada procjene ugroženosti plana zaštite od požara za objekte općine</t>
  </si>
  <si>
    <t xml:space="preserve">9.11.Obuka i provjera znanja uposlenika iz oblasti zaštite na radu i zaštite od požara </t>
  </si>
  <si>
    <t>9.12.Izdaci za fizičko osiguranje zgrade općine Lukavac</t>
  </si>
  <si>
    <t>9.13. Izdaci za tehničku zaštitu zgrade i arhive općine</t>
  </si>
  <si>
    <t>9.14. Održavanje WEB starnice</t>
  </si>
  <si>
    <t xml:space="preserve">Nabavka oprema  </t>
  </si>
  <si>
    <t>8.14.Izrada procjene ugroženosti plana zaštite od požara za objekte općine</t>
  </si>
  <si>
    <t xml:space="preserve">8.15.Obuka i provjera znanja uposlenika iz oblasti zaštite na radu i zaštite od požara </t>
  </si>
  <si>
    <t>8.16.Namjenska sredstva za ublažavanje posljedica elementar.nepogoda ( od FONDA, od vlade TK usmjerena od Upravnog odbora Federalnog fonda, donac.domaćih i inostranih fizičkih i pravnih lica, od skloništa</t>
  </si>
  <si>
    <t>8.17. Sufinansiranje međunarodnih projekata i projekata sa viših nivoa vlasti</t>
  </si>
  <si>
    <t>8.18.Finansiranje neplaniranih troškova u provođenju mjera zaštite i spašavanja</t>
  </si>
  <si>
    <t>PLUS POVEĆANJE</t>
  </si>
  <si>
    <t>zaokruženo na 51500KM</t>
  </si>
  <si>
    <t>10-1001</t>
  </si>
  <si>
    <t>11-1101</t>
  </si>
  <si>
    <t>11-1102</t>
  </si>
  <si>
    <t>11-1103</t>
  </si>
  <si>
    <t>11-1104</t>
  </si>
  <si>
    <t>11-1105</t>
  </si>
  <si>
    <t>11-1106</t>
  </si>
  <si>
    <t>11-1107</t>
  </si>
  <si>
    <t>11-1108</t>
  </si>
  <si>
    <t>11-1109</t>
  </si>
  <si>
    <t>Služba za investicije i poslove mjesnih zajednica</t>
  </si>
  <si>
    <t>Služba za privredu, lokalni razvoj i inspekcijske poslove</t>
  </si>
  <si>
    <t xml:space="preserve">Služba za urbanizam,prostorno uređenje i zaštitu okoliša
</t>
  </si>
  <si>
    <t xml:space="preserve">Izvor ublažavanje posljedica elementar.nepogoda </t>
  </si>
  <si>
    <t>Posebna naknada za zaštitu od prirodnih i drugih nesreća</t>
  </si>
  <si>
    <t>Skloništa</t>
  </si>
  <si>
    <t>Služba za zajedničke poslove</t>
  </si>
  <si>
    <t>11-1110</t>
  </si>
  <si>
    <t>11-1111</t>
  </si>
  <si>
    <t>Odjeljenje za internu reviziju</t>
  </si>
  <si>
    <t>11-1112</t>
  </si>
  <si>
    <t>Služba za komunalno-stambene poslove</t>
  </si>
  <si>
    <t xml:space="preserve">Plaće sa doprinosima
poslodavca,naknade troškova zaposlenih
</t>
  </si>
  <si>
    <t>Izvor-kredit</t>
  </si>
  <si>
    <t>Izvor-namjenski</t>
  </si>
  <si>
    <t>Izvor-grant</t>
  </si>
  <si>
    <t>ukup.2020.godina</t>
  </si>
  <si>
    <t>Plan 2021.godina</t>
  </si>
  <si>
    <t>bilo</t>
  </si>
  <si>
    <t>0 6 3 0</t>
  </si>
  <si>
    <t>0 4 9 0</t>
  </si>
  <si>
    <t xml:space="preserve">      Ovaj budžet stupa na snagu danom objavljivanja u "Službenom glasniku općine Lukavac", a važi za fiskalnu 2020.godinu.</t>
  </si>
  <si>
    <t>Budžet općine Lukavac za period od 01.01.2020 - 31.12.2020. godine, sa planom za 2021.g. i 2022.godinu sastoji se od:</t>
  </si>
  <si>
    <t>RAZLIKA U ODNOSU NA BUDŽET 2019.godine</t>
  </si>
  <si>
    <t>bilo u  prvobitnom nacrtu od 28.10.19, proslijeđenog NAČELNIKU I POMOĆNICIMA</t>
  </si>
  <si>
    <t>4.4.Izdaci za uređenje poljoprivred.zemljišta od sredstava prikupljenih od promjene namjene zemljišta</t>
  </si>
  <si>
    <t>07.11.2019. pomoćnik Esad Suljić i Ziza Nadžaković u mojoj kancelariji</t>
  </si>
  <si>
    <t>Umanjeno za 21.353, jer je na poziciji "Projektovanja...." iznos 50.000KM</t>
  </si>
  <si>
    <t xml:space="preserve">07.11.2019. pomoćnik Esad Suljić i Ziza Nadžaković u mojoj kancelariji, iznos nije isplaćen dobavljaču,  sredstva nije doznači kanton TK </t>
  </si>
  <si>
    <t>NAPRAVILA GREŠKU u planu budžeta za 2019.godinu, UŠLA U ĆELIJU  "IZMIRENJE OBAVEZA...." A RADILO SE O TOPLIFIKACIJI, AMANDMANOM DONESENO 200.000KM</t>
  </si>
  <si>
    <t>6.4.Izdaci za izuzimanje arhivske građe</t>
  </si>
  <si>
    <t>6.5. Usluge tehničke zaštite zgrade općine Lukavac i testiranje ugrađenog alarmnog sistema i vatrogasne dojave</t>
  </si>
  <si>
    <t>Nabavka  opreme</t>
  </si>
  <si>
    <t xml:space="preserve">Nabavka  opreme </t>
  </si>
  <si>
    <t>za 2020.g. 
(5+6+7+8)</t>
  </si>
  <si>
    <t>uposlenih: 147 u oktobru 2019.godine + 18 planirano u 2020.godini</t>
  </si>
  <si>
    <t xml:space="preserve">1.2. Savez za sport i  rekreaciju osoba sa invaliditetom 
Sportski savez  invalidnih lica - klubovima članicama saveza putem javnog poziva za nevladin sektor 
</t>
  </si>
  <si>
    <t>Očuvanje ribljeg fonda, zaštita akumulacije jezera Modrac i prirodnog priraštaja ribe</t>
  </si>
  <si>
    <t>Odluka o izvršenju UBACITI, SREDSTVA UDRUŽENJU SPORTSKOM...</t>
  </si>
  <si>
    <t>Podrška povratku prognanih osoba, stipendiranje učenika i studenata</t>
  </si>
  <si>
    <t>Odluka o izvršenju UBACITI, SREDSTVA ............kome</t>
  </si>
  <si>
    <t>word wision traži projekat zaštita djece 500.000KM na tri godine</t>
  </si>
  <si>
    <t>Kapitalni transfer za JU općine Lukavac, Turističku zajednicu općine Lukavac</t>
  </si>
  <si>
    <r>
      <t xml:space="preserve">11. Sufinansiranje </t>
    </r>
    <r>
      <rPr>
        <i/>
        <sz val="12"/>
        <color rgb="FFFF0000"/>
        <rFont val="Arial"/>
        <family val="2"/>
        <charset val="238"/>
      </rPr>
      <t>izgradnje ili rekonstrukcije i sanacije</t>
    </r>
    <r>
      <rPr>
        <i/>
        <sz val="12"/>
        <rFont val="Arial"/>
        <family val="2"/>
        <charset val="238"/>
      </rPr>
      <t xml:space="preserve">stambenih objekata </t>
    </r>
    <r>
      <rPr>
        <i/>
        <sz val="12"/>
        <color rgb="FFFF0000"/>
        <rFont val="Arial"/>
        <family val="2"/>
        <charset val="238"/>
      </rPr>
      <t xml:space="preserve">lica u stanju </t>
    </r>
    <r>
      <rPr>
        <i/>
        <sz val="12"/>
        <rFont val="Arial"/>
        <family val="2"/>
        <charset val="238"/>
      </rPr>
      <t xml:space="preserve">socijalne </t>
    </r>
    <r>
      <rPr>
        <i/>
        <sz val="12"/>
        <color rgb="FFFF0000"/>
        <rFont val="Arial"/>
        <family val="2"/>
        <charset val="238"/>
      </rPr>
      <t>potrebe</t>
    </r>
  </si>
  <si>
    <t>od toga: sala u okviru zgrade PU Lukavac</t>
  </si>
  <si>
    <t>2.4. Izdaci za vodu i kanalizaciju</t>
  </si>
  <si>
    <t>6.2. Prihodi od indirektnih poreza koji pripadaju direkciji, tj općinama 25% ukupno doznačenih sredstava</t>
  </si>
  <si>
    <t>2.3. Naknada za osiguranje od požara</t>
  </si>
  <si>
    <t>2.4. Naknada iz zakona o grads.građ.zemljiš.</t>
  </si>
  <si>
    <t xml:space="preserve">2.4.0. Naknada za uređenje građevinskog zemljišta </t>
  </si>
  <si>
    <t>2.4.1. Naknade za korištenje građevinskog zemljišta</t>
  </si>
  <si>
    <t>2.4.2. Naknada od prirodnih pogodnosti-renta</t>
  </si>
  <si>
    <t>2.5. Naknada po osnovu tehničkog pregleda 
građevina</t>
  </si>
  <si>
    <t>2.6. Nakn.za postupak legalizacije javn.površ.i građevina</t>
  </si>
  <si>
    <t>2.7.Naknada za izgradnju i održavanje javnih skloništa</t>
  </si>
  <si>
    <t>2.8. Nakn.od koriš.hidroakumulac.objek. 
Izgrađenog na potopljenom području</t>
  </si>
  <si>
    <t>2.9. Opštinske komunalne naknade</t>
  </si>
  <si>
    <t>2.10. Ostale općinske naknade</t>
  </si>
  <si>
    <t>Vidjeti sa Službom za rješenja za "naknada za kretanje teretnih motornih vozila" na vrsti prihoda 722449, koliki iznos planirati, i da li je Zakonom definisana namjena i korištenje sredstava</t>
  </si>
  <si>
    <t>2.11.Naknada za zauzimanje javnih površina</t>
  </si>
  <si>
    <t xml:space="preserve">2.12. Naknada za korištenje državnih šuma </t>
  </si>
  <si>
    <t xml:space="preserve">2.13. Nakn.za korišt.podataka premjera i
 katastra </t>
  </si>
  <si>
    <t>2.14. Naknada za vršenje usluga iz oblasti premjera i katastra</t>
  </si>
  <si>
    <t>2.15. Naknada za upotrebu cesta za vozila pravnih lica, tj općinama 25% ukupno doznačenih sredstava</t>
  </si>
  <si>
    <t>2.16.Naknada za upotrebu cesta za vozila građana, tj općinama 25% ukupno doznačenih sredstava</t>
  </si>
  <si>
    <t>2.17.Pos. nakn. za zaštitu od prirod. i dr. nesreća - neto plata</t>
  </si>
  <si>
    <t>2.18. Pos. nakn. za zaš. od prir. i dr. nesreć.- samostalne djelatnosti</t>
  </si>
  <si>
    <t>2.19. Naknada za vatrog. jed. iz prem. osig. imov</t>
  </si>
  <si>
    <t>2.20. Nakn.iz funkci.prem.osig.od autoodgov.za vatrog.jedin.</t>
  </si>
  <si>
    <t>2.21. Prih. od trošk. naplate od pokretanja
       postup. prisilne naplate</t>
  </si>
  <si>
    <t>2.22. Ostali povrati</t>
  </si>
  <si>
    <t>2.23.Naplate premije osiguranja</t>
  </si>
  <si>
    <t>2.24. Uplaćene refundacije bolovanja iz ranijih godina</t>
  </si>
  <si>
    <t>2.25. Neplanirane uplate</t>
  </si>
  <si>
    <t>2.26. Prihodi od pružanja usluga servisiranja protivpožarnih aparata</t>
  </si>
  <si>
    <t>mjesečno</t>
  </si>
  <si>
    <t>sa 10.2019</t>
  </si>
  <si>
    <t>od toga: nove investicije za 2020.godinu</t>
  </si>
  <si>
    <t>BILO 35000 KM</t>
  </si>
  <si>
    <t>Poticaj zapošljavanju fizičkim licima koji prvi puta registruju djelatnost u tekućoj godini kroz subvencioniranje troškova doprinosa penzionog osiguranja</t>
  </si>
  <si>
    <t>20.11.2019.godine Esad Suljić izmijhenio naziv pozicije</t>
  </si>
  <si>
    <t>planirano u Službi za privredu potrošnja</t>
  </si>
  <si>
    <t xml:space="preserve">Emir Begić povećati </t>
  </si>
  <si>
    <t>DILEMA, DA LI TREBA U SLUŽBI ZA UPRAVU Mirela Bubić prikazala, a u  Kasumovbić Emirovom dopisu planu budžeta NEMA</t>
  </si>
  <si>
    <t>Otpremnina</t>
  </si>
  <si>
    <t>Prosječna plata Nukić Razem u  penziju</t>
  </si>
  <si>
    <r>
      <t xml:space="preserve">Bruto plaće i naknade plaća ( 3 uposlena </t>
    </r>
    <r>
      <rPr>
        <sz val="12"/>
        <color rgb="FFFF0000"/>
        <rFont val="Arial"/>
        <family val="2"/>
        <charset val="238"/>
      </rPr>
      <t>+ 0 državni službenik</t>
    </r>
    <r>
      <rPr>
        <sz val="12"/>
        <rFont val="Arial"/>
        <family val="2"/>
        <charset val="238"/>
      </rPr>
      <t>)</t>
    </r>
  </si>
  <si>
    <t>4.3. Ostale stručne usluge</t>
  </si>
  <si>
    <t>od toga: ugovor Rial šped br.02-14-10249/19 sa Federalnim ministarstvom za izbjegla i raseljena lica</t>
  </si>
  <si>
    <t>od toga: projekti u tekućoj godini</t>
  </si>
  <si>
    <t>od toga: ugovor Sidikbr.02-02-2-2290/19 za građevinski materijal</t>
  </si>
  <si>
    <t>od toga: za spomen obilježje Puračić, ugovor sa SE Sarajka br. 03-14-1780-7/19</t>
  </si>
  <si>
    <t>od toga ugovor Gramat iz 2018.godine 10.787,4KM, Poljice Gornje</t>
  </si>
  <si>
    <t>od toga: uzemljenje pumpne stanice u MZ Jaruške</t>
  </si>
  <si>
    <t>od toga: izgradnja dionice kanala SFI-1 za prikupljanje oborinskih i otpadnih voda</t>
  </si>
  <si>
    <t>od toga: rekonstrukcija pristupnih staza po projektu Atrius doo</t>
  </si>
  <si>
    <t>od toga: rekonstrukcija platoa oko fontane, projektu Atrius doo</t>
  </si>
  <si>
    <t>11. Kapitalni transfer JU Biblioteka Lukavac, za nabavku stolarije</t>
  </si>
  <si>
    <t>od toga:prošir.ulič.rasvjete na području općine  Lukavac, ugovor 2019.g.</t>
  </si>
  <si>
    <t>od toga:nabavka opreme za dječije igralište, ugovor br.03-14-5679/19 sa Glovis Zenica</t>
  </si>
  <si>
    <t>od toga:nabavka opreme za dječije obdanište, ugovor 02-14-2068/18 sa Glovis Zenica 2018.g.</t>
  </si>
  <si>
    <t>od toga: ograđivanje i sanacija dječijeg igrališta</t>
  </si>
  <si>
    <t xml:space="preserve">1.9. Izgradnja primar.distributivne mreže u naseljima na području općine Lukavac
</t>
  </si>
  <si>
    <t>sporazumni raskid ugovora u 2019.godini u novembru</t>
  </si>
  <si>
    <t>od toga: izrada i rekonstrukcija vodovone mreže u MZ Puračić, faza II</t>
  </si>
  <si>
    <t>Emir Begić novembar, načelnik da se briše 20.000KM</t>
  </si>
  <si>
    <t>1.12. Izrada projekta i kupovina zemljišta za fabriku pitke vode
(studije prečistača pitke vode za grad Lukavac i prigradska naselja)</t>
  </si>
  <si>
    <t>od toga: nerealizovani ugovori iz 2017.godine a radovi u 2019.godini</t>
  </si>
  <si>
    <t>promijenjen naziv i iznosi, novembar 2019. Emir</t>
  </si>
  <si>
    <t>od toga: realizacija ugovora iz prethodne godine, ugovor Roading</t>
  </si>
  <si>
    <t>od toga: realizacija ugovora iz prethodne godine, ugovor SE Sarajke, pješačka zona</t>
  </si>
  <si>
    <t>od toga: realizacija ugovora iz prethodne godine, ugovor Holeks, put Prokosovići</t>
  </si>
  <si>
    <t>Ubacila iznos 367.786KM: pošto su prihodi od Naknada cesta na tri konta 717131,722531 i 722532 u ukupnom iznosu 1.361.436KM: "Tekuće održavanje 600.000KM u Službi komunal.stam., a Služba z ainvesticije PLANIRALA 393.650KM dodala sam "realizaciju ugovora iz prethodne godine" u iznosu os 367.786KM, da nebi namjenski prihod od "nakn.cesta" pokrio neki drugi trošak tj rashod ili investriciju....</t>
  </si>
  <si>
    <t>promijenjen iznos, novembar 2019. Emir</t>
  </si>
  <si>
    <t xml:space="preserve">7.Akumulirana neutrošena sreds. iz 2019.godini, donacija od MZ Prokosovići  
 </t>
  </si>
  <si>
    <t>od toga: nabavka rasadničkih proizvoda</t>
  </si>
  <si>
    <t>5.4. Ostale usluge opravke i održavanja  (podhodnika i drugo)</t>
  </si>
  <si>
    <t>27.11.2019.g. Zuhdija Hrvatović PRIJEDLOG povećanje prihoda od koncesija</t>
  </si>
  <si>
    <t>JU za odgoj i obrazovanje djece predškolskog uzrasta Lukavac</t>
  </si>
  <si>
    <t>+ 1 državni službenik 1 namještenik)</t>
  </si>
  <si>
    <t>Prihodi, primici, finansiranje i izdaci po grupama i namjenama utvrđuju se u bilansu prihoda, primitaka,finansiranja i izdataka kako slijedi:</t>
  </si>
  <si>
    <t>Plan za 
2019.god.</t>
  </si>
  <si>
    <t>Izvršenje  za 
2018.god.</t>
  </si>
  <si>
    <t>PREDLAGAČ</t>
  </si>
  <si>
    <t>OPĆINSKI NAČELNIK</t>
  </si>
  <si>
    <t>Dr.sci. Edin Delić</t>
  </si>
  <si>
    <t>Broj:02-14-13697/19</t>
  </si>
  <si>
    <t>Lukavac, 27.11.2019.godine</t>
  </si>
  <si>
    <t>O P Ć I N A  L U K A V A C</t>
  </si>
  <si>
    <t>N A C R T</t>
  </si>
  <si>
    <t xml:space="preserve">OBRAĐIVAČ:       </t>
  </si>
  <si>
    <t>PREDLAGAČ:</t>
  </si>
  <si>
    <t>Općinski načelnik općine Lukavac</t>
  </si>
  <si>
    <t>RAZMATRA:</t>
  </si>
  <si>
    <t>Općinsko vijeće općine Lukavac</t>
  </si>
  <si>
    <t>BUDŽET OPĆINE LUKAVAC ZA 2020.godinu</t>
  </si>
  <si>
    <t>SA OKVIRNIM PLANOM BUDŽETA ZA 2021.g. i 2022.godinu</t>
  </si>
  <si>
    <t>Razlika Korisnici-Izdaci</t>
  </si>
  <si>
    <t>Prilog 2.  Funkcionalna klasifikacija</t>
  </si>
  <si>
    <t>od toga: rekonstrukciju zgrada u tekućoj godini</t>
  </si>
  <si>
    <t>Emir Begić:78.392KM NE MOŽE brisati, procijenjena vrijednost 241.957 KM</t>
  </si>
  <si>
    <t>03.12.2019., kabinet NAČELNIKA umanjeno -114.617KM</t>
  </si>
  <si>
    <t>03.12.2019., kabinet NAČELNIKA umanjeno -50.000KM</t>
  </si>
  <si>
    <t>03.12.'19.Emir Begić NE MOŽE se umanjiti pokrenut tender -tehnička specifikacija iznosi 264.000KM</t>
  </si>
  <si>
    <t>03.12.2019., kabinet NAČELNIKA umanjeno -360.000KM</t>
  </si>
  <si>
    <t>03.12.2019., kabinet NAČELNIKA umanjeno -130.000KM</t>
  </si>
  <si>
    <t>03.12.2019., kabinet NAČELNIKA umanjeno -20.000KM</t>
  </si>
  <si>
    <t>Nema procjena, prvobitno načelnik-Emiru Begiću da bude pozicija i iznos</t>
  </si>
  <si>
    <t>03.12.2019., kabinet NAČELNIKA preneseno na Službu za geodetske imov.prav.posl. Grant 300.000KM i naziv "kupovina zemlje</t>
  </si>
  <si>
    <t>od toga: kupovina zemljišta za projekat fabriku pitke vode</t>
  </si>
  <si>
    <t>03.12.2019. načelnik umanjenje za 45.000 KM</t>
  </si>
  <si>
    <t>umanjeno</t>
  </si>
  <si>
    <t>spomen obilježje Puračić -grant min.boračka Kanton TK, za" Čišćenje korita rijeka i potoka-70.000KM"</t>
  </si>
  <si>
    <t>3.6.4. Ostale usluge opravke i održavanja (spomen obilježje i podhodnici, čišćenje korita rijeka i potoka)</t>
  </si>
  <si>
    <t>umanjeno za 33.138KM=(2750*12)+(2750*5/100)</t>
  </si>
  <si>
    <t>od toga: konsultanske usluge za poslovni softver</t>
  </si>
  <si>
    <t>+ 1 državni službenik i 1 namještenik)</t>
  </si>
  <si>
    <r>
      <t>Bruto plaće i naknade plaća (11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uposlenih) </t>
    </r>
  </si>
  <si>
    <t>umanjen i 1 namještenika)</t>
  </si>
  <si>
    <t>Bruto plaće i naknade plaća (10 uposlenih plus 1 državni službenik )</t>
  </si>
  <si>
    <r>
      <t xml:space="preserve">Bruto plaće i naknade plaća ( 6 </t>
    </r>
    <r>
      <rPr>
        <sz val="12"/>
        <color rgb="FFFF0000"/>
        <rFont val="Arial"/>
        <family val="2"/>
        <charset val="238"/>
      </rPr>
      <t>uposlenih plus 1 državni službenik)</t>
    </r>
  </si>
  <si>
    <t>1 državna službenika</t>
  </si>
  <si>
    <t>+ 2 namještenika</t>
  </si>
  <si>
    <t>plus 2 namještenika</t>
  </si>
  <si>
    <t>(2876+9+2400+8+2323+7+1778+6+1600+5+1646+5+1698+6+2378+8+2342+8+2195+7+1912+6+1787+6)*12</t>
  </si>
  <si>
    <t xml:space="preserve">od toga: otpremnine </t>
  </si>
  <si>
    <r>
      <t>Bruto plaće i naknade plaća (</t>
    </r>
    <r>
      <rPr>
        <sz val="12"/>
        <color rgb="FFFF0000"/>
        <rFont val="Arial"/>
        <family val="2"/>
        <charset val="238"/>
      </rPr>
      <t>12 - 1 uposlenih plus 1 državni službenik )</t>
    </r>
  </si>
  <si>
    <r>
      <t>Bruto plaće i naknade plaća (14 -1</t>
    </r>
    <r>
      <rPr>
        <sz val="12"/>
        <color rgb="FFFF0000"/>
        <rFont val="Arial"/>
        <family val="2"/>
        <charset val="238"/>
      </rPr>
      <t xml:space="preserve"> uposlenih</t>
    </r>
    <r>
      <rPr>
        <sz val="12"/>
        <rFont val="Arial"/>
        <family val="2"/>
        <charset val="238"/>
      </rPr>
      <t>)</t>
    </r>
  </si>
  <si>
    <r>
      <t>Bruto plaće i naknade plaća (14-1</t>
    </r>
    <r>
      <rPr>
        <sz val="12"/>
        <color rgb="FFFF0000"/>
        <rFont val="Arial"/>
        <family val="2"/>
        <charset val="238"/>
      </rPr>
      <t xml:space="preserve"> uposlenih + 1 državna službenika</t>
    </r>
    <r>
      <rPr>
        <sz val="12"/>
        <rFont val="Arial"/>
        <family val="2"/>
        <charset val="238"/>
      </rPr>
      <t>)</t>
    </r>
  </si>
  <si>
    <r>
      <t>Bruto plaće i naknade plaća (</t>
    </r>
    <r>
      <rPr>
        <sz val="12"/>
        <color rgb="FFFF0000"/>
        <rFont val="Arial"/>
        <family val="2"/>
        <charset val="238"/>
      </rPr>
      <t>27- 2 uposlena plus 1 državni službenik)</t>
    </r>
  </si>
  <si>
    <r>
      <t xml:space="preserve">Bruto plaće i naknade plaća ( </t>
    </r>
    <r>
      <rPr>
        <sz val="12"/>
        <color rgb="FFFF0000"/>
        <rFont val="Arial"/>
        <family val="2"/>
        <charset val="238"/>
      </rPr>
      <t>24 - 1 uposlena )</t>
    </r>
  </si>
  <si>
    <t>5.5. Čišćenje vodotoka</t>
  </si>
  <si>
    <t>Lukavac, decembar 2019.god.</t>
  </si>
  <si>
    <t>Na službi za privredu , greškom Rebalansom u 2019.godini prebačeno</t>
  </si>
  <si>
    <t xml:space="preserve">      Na osnovu  člana 107 i 108. Zakona o organizaciji organa uprave u Federaciji Bosne i Hercegovine ( "Sl. novine FBiH ", broj 35/05 ), člana 32 i 33. Zakona o proračunima-budžetima u FBiH ( " Sl. novine FBiH" , broj: 102/13,9/14,13/14, 8/15, 91/15, 102/15 i 104/16 ) i člana 32. Statuta općine Lukavac - prečišćeni tekst ("Sl.glasnik općine Lukavac, br.5/08 i 1/14) općinsko vijeće općine Lukavac, na ______redovnoj sjednici održanoj dana  ____________.2019.godine, donijelo  je:</t>
  </si>
  <si>
    <t>ugovori iz pethodne godine za Proširenje i rekonstrukcija toplovodne mreže u Lukavcu gradu</t>
  </si>
  <si>
    <t>ugovori iz pethodne godine za Rekonstrukciju cesta</t>
  </si>
  <si>
    <t>ugovori iz pethodne godine za Izgradnja primar.distributivne mreže u naseljima na području općine Lukavac</t>
  </si>
  <si>
    <t>ugovori iz pethodne godine za Odvodnju oborinskih i otpadnih voda u gradu Lukavac i na području općine Lukavac, dobavljač Sidik</t>
  </si>
  <si>
    <t xml:space="preserve">ugovori iz prethodne godine za Watsan projekat odvodnja oborinskih i otpadnih voda u Gradu Lukavcu </t>
  </si>
  <si>
    <t xml:space="preserve">ugovori iz pethodne godine za uređenje i opremanje građevinskog zemljišta </t>
  </si>
  <si>
    <t>ugovori iz pethodne godine za vodovodni priključci</t>
  </si>
  <si>
    <t xml:space="preserve">ugovori iz prethodne godine za  proširenje ulične rasvjete </t>
  </si>
  <si>
    <t>ugovori iz prethodne godine za podršku održivom povratku (obnova stambenog fonda, poboljšanje uslova stanovanja), ugovor sa Rial šped i Federalnim ministarstvom za izbjegla i raseljena lica</t>
  </si>
  <si>
    <t xml:space="preserve"> ugovori iz prethodne godine za sportske objekat, dobavljač Sidik</t>
  </si>
  <si>
    <t xml:space="preserve"> ugovori iz prethodne godine za objekte kulture, dobavljač Sidik</t>
  </si>
  <si>
    <t xml:space="preserve"> ugovori iz prethodne godine za vodosnadbijevanje naselja, dobavljač Sidik</t>
  </si>
  <si>
    <t xml:space="preserve"> ugovori iz prethodne godine za spomen obilježja, dobavljač SE Sarajka </t>
  </si>
  <si>
    <t xml:space="preserve"> ugovori iz prethodne godine za ambulante, škole, ostale javne ustanove i MZ, dobavljač Sidik</t>
  </si>
  <si>
    <t xml:space="preserve"> ugovori iz prethodne godine za izgradnju dionice kanala SFI-1 za prikupljanje oborinskih i otpadnih voda </t>
  </si>
  <si>
    <t>4. Usaglašavanje starog i novog premjera, reambulacija i skeniranje arhiva. 
Naziv u prethodnim godinama:Georeferensiranje i digitalizacija Harmonizacija planova i usaglašavanje starog i novog premjera</t>
  </si>
  <si>
    <t>Prihodi, primici, gotovina i finansiranje:</t>
  </si>
  <si>
    <t>Neto budžet:................................................17.272.485</t>
  </si>
  <si>
    <t>Krediti:.............................................................2.633.556</t>
  </si>
  <si>
    <t>Prenesena gotovina:....................................3.285.275</t>
  </si>
  <si>
    <t>Grantovi:..........................................................3.481.052</t>
  </si>
  <si>
    <t>Rashodi i izdaci:</t>
  </si>
  <si>
    <t>Plaće i ostala primanja uposlenih</t>
  </si>
  <si>
    <t>Izdaci za materijal i usluge............</t>
  </si>
  <si>
    <t>Tekući grantovi.................................</t>
  </si>
  <si>
    <t>Kapitalni grantovi.............................</t>
  </si>
  <si>
    <t>Kapitalni izdaci.................................</t>
  </si>
  <si>
    <t>Tekuća rezerva................................</t>
  </si>
  <si>
    <t>Ukupno:</t>
  </si>
  <si>
    <t>Ukupno budžet:                                            26.682.368</t>
  </si>
  <si>
    <t xml:space="preserve">        Sažetak budžeta za 2020 godinu</t>
  </si>
  <si>
    <t>Otplata duga (glavnica, kam i dr.)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</si>
</sst>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name val="Arial"/>
      <family val="2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4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</font>
    <font>
      <i/>
      <sz val="12"/>
      <color rgb="FFFFFF0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2"/>
      <color theme="0" tint="-0.34998626667073579"/>
      <name val="Arial"/>
      <family val="2"/>
      <charset val="238"/>
    </font>
    <font>
      <b/>
      <sz val="12"/>
      <color theme="0" tint="-0.34998626667073579"/>
      <name val="Arial"/>
      <family val="2"/>
      <charset val="238"/>
    </font>
    <font>
      <i/>
      <sz val="12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3"/>
      <color theme="0" tint="-0.34998626667073579"/>
      <name val="Arial"/>
      <family val="2"/>
      <charset val="238"/>
    </font>
    <font>
      <b/>
      <i/>
      <u/>
      <sz val="12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b/>
      <i/>
      <u/>
      <sz val="14"/>
      <color rgb="FFFF0000"/>
      <name val="Arial Black"/>
      <family val="2"/>
      <charset val="238"/>
    </font>
    <font>
      <b/>
      <sz val="16"/>
      <name val="Arial"/>
      <family val="2"/>
      <charset val="238"/>
    </font>
    <font>
      <i/>
      <sz val="12"/>
      <color theme="2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086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3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0" fontId="10" fillId="2" borderId="0" xfId="0" applyFont="1" applyFill="1" applyBorder="1"/>
    <xf numFmtId="0" fontId="5" fillId="2" borderId="0" xfId="0" applyFont="1" applyFill="1"/>
    <xf numFmtId="0" fontId="11" fillId="2" borderId="1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13" xfId="0" applyFont="1" applyFill="1" applyBorder="1"/>
    <xf numFmtId="0" fontId="10" fillId="2" borderId="13" xfId="0" applyFont="1" applyFill="1" applyBorder="1"/>
    <xf numFmtId="0" fontId="10" fillId="6" borderId="13" xfId="0" applyFont="1" applyFill="1" applyBorder="1" applyAlignment="1">
      <alignment horizontal="center"/>
    </xf>
    <xf numFmtId="0" fontId="10" fillId="6" borderId="2" xfId="0" applyFont="1" applyFill="1" applyBorder="1"/>
    <xf numFmtId="0" fontId="12" fillId="2" borderId="13" xfId="0" applyFont="1" applyFill="1" applyBorder="1"/>
    <xf numFmtId="0" fontId="6" fillId="2" borderId="0" xfId="0" applyFont="1" applyFill="1"/>
    <xf numFmtId="0" fontId="6" fillId="2" borderId="0" xfId="0" applyFont="1" applyFill="1" applyAlignment="1"/>
    <xf numFmtId="0" fontId="6" fillId="5" borderId="7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5" borderId="0" xfId="0" applyFont="1" applyFill="1" applyBorder="1" applyAlignment="1">
      <alignment horizontal="center" wrapText="1"/>
    </xf>
    <xf numFmtId="0" fontId="5" fillId="2" borderId="0" xfId="0" applyFont="1" applyFill="1" applyBorder="1"/>
    <xf numFmtId="3" fontId="5" fillId="2" borderId="0" xfId="0" applyNumberFormat="1" applyFont="1" applyFill="1" applyBorder="1" applyAlignment="1"/>
    <xf numFmtId="0" fontId="6" fillId="2" borderId="3" xfId="0" applyFont="1" applyFill="1" applyBorder="1"/>
    <xf numFmtId="3" fontId="6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3" fontId="5" fillId="2" borderId="8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5" fillId="6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15" fillId="2" borderId="6" xfId="0" applyFont="1" applyFill="1" applyBorder="1"/>
    <xf numFmtId="3" fontId="15" fillId="2" borderId="8" xfId="0" applyNumberFormat="1" applyFont="1" applyFill="1" applyBorder="1" applyAlignment="1">
      <alignment horizontal="right"/>
    </xf>
    <xf numFmtId="3" fontId="15" fillId="2" borderId="12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center"/>
    </xf>
    <xf numFmtId="0" fontId="6" fillId="5" borderId="6" xfId="0" applyFont="1" applyFill="1" applyBorder="1"/>
    <xf numFmtId="3" fontId="6" fillId="5" borderId="6" xfId="0" applyNumberFormat="1" applyFont="1" applyFill="1" applyBorder="1"/>
    <xf numFmtId="0" fontId="5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3" fontId="6" fillId="2" borderId="11" xfId="0" applyNumberFormat="1" applyFont="1" applyFill="1" applyBorder="1"/>
    <xf numFmtId="3" fontId="5" fillId="2" borderId="9" xfId="0" applyNumberFormat="1" applyFont="1" applyFill="1" applyBorder="1" applyAlignment="1">
      <alignment horizontal="right"/>
    </xf>
    <xf numFmtId="3" fontId="5" fillId="6" borderId="6" xfId="0" applyNumberFormat="1" applyFont="1" applyFill="1" applyBorder="1" applyAlignment="1">
      <alignment horizontal="right"/>
    </xf>
    <xf numFmtId="0" fontId="5" fillId="2" borderId="7" xfId="0" applyFont="1" applyFill="1" applyBorder="1"/>
    <xf numFmtId="3" fontId="6" fillId="5" borderId="9" xfId="0" applyNumberFormat="1" applyFont="1" applyFill="1" applyBorder="1"/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14" fillId="5" borderId="0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6" fillId="5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right"/>
    </xf>
    <xf numFmtId="0" fontId="5" fillId="6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6" xfId="0" applyFont="1" applyFill="1" applyBorder="1"/>
    <xf numFmtId="0" fontId="5" fillId="6" borderId="3" xfId="0" applyFont="1" applyFill="1" applyBorder="1"/>
    <xf numFmtId="3" fontId="6" fillId="2" borderId="6" xfId="0" applyNumberFormat="1" applyFont="1" applyFill="1" applyBorder="1"/>
    <xf numFmtId="3" fontId="6" fillId="2" borderId="8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wrapText="1"/>
    </xf>
    <xf numFmtId="1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3" fontId="6" fillId="2" borderId="0" xfId="0" applyNumberFormat="1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/>
    </xf>
    <xf numFmtId="3" fontId="5" fillId="2" borderId="6" xfId="0" applyNumberFormat="1" applyFont="1" applyFill="1" applyBorder="1"/>
    <xf numFmtId="3" fontId="6" fillId="5" borderId="9" xfId="0" applyNumberFormat="1" applyFont="1" applyFill="1" applyBorder="1" applyAlignment="1">
      <alignment horizontal="right"/>
    </xf>
    <xf numFmtId="3" fontId="6" fillId="2" borderId="7" xfId="0" applyNumberFormat="1" applyFont="1" applyFill="1" applyBorder="1"/>
    <xf numFmtId="3" fontId="15" fillId="2" borderId="6" xfId="0" applyNumberFormat="1" applyFont="1" applyFill="1" applyBorder="1" applyAlignment="1">
      <alignment horizontal="right"/>
    </xf>
    <xf numFmtId="3" fontId="15" fillId="2" borderId="9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wrapText="1"/>
    </xf>
    <xf numFmtId="3" fontId="15" fillId="2" borderId="8" xfId="0" applyNumberFormat="1" applyFont="1" applyFill="1" applyBorder="1"/>
    <xf numFmtId="3" fontId="15" fillId="2" borderId="6" xfId="0" applyNumberFormat="1" applyFont="1" applyFill="1" applyBorder="1"/>
    <xf numFmtId="3" fontId="15" fillId="2" borderId="9" xfId="0" applyNumberFormat="1" applyFont="1" applyFill="1" applyBorder="1"/>
    <xf numFmtId="3" fontId="15" fillId="6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wrapText="1"/>
    </xf>
    <xf numFmtId="3" fontId="5" fillId="2" borderId="9" xfId="0" applyNumberFormat="1" applyFont="1" applyFill="1" applyBorder="1"/>
    <xf numFmtId="0" fontId="5" fillId="2" borderId="6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0" fontId="5" fillId="2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 vertical="center"/>
    </xf>
    <xf numFmtId="0" fontId="6" fillId="4" borderId="0" xfId="0" applyFont="1" applyFill="1" applyBorder="1"/>
    <xf numFmtId="3" fontId="16" fillId="2" borderId="6" xfId="0" applyNumberFormat="1" applyFont="1" applyFill="1" applyBorder="1"/>
    <xf numFmtId="3" fontId="16" fillId="2" borderId="9" xfId="0" applyNumberFormat="1" applyFont="1" applyFill="1" applyBorder="1"/>
    <xf numFmtId="0" fontId="15" fillId="6" borderId="6" xfId="0" applyFont="1" applyFill="1" applyBorder="1" applyAlignment="1">
      <alignment horizontal="left" wrapText="1"/>
    </xf>
    <xf numFmtId="3" fontId="5" fillId="6" borderId="9" xfId="0" applyNumberFormat="1" applyFont="1" applyFill="1" applyBorder="1" applyAlignment="1">
      <alignment horizontal="right"/>
    </xf>
    <xf numFmtId="0" fontId="6" fillId="2" borderId="6" xfId="0" applyFont="1" applyFill="1" applyBorder="1"/>
    <xf numFmtId="2" fontId="5" fillId="2" borderId="6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/>
    <xf numFmtId="3" fontId="21" fillId="6" borderId="6" xfId="0" applyNumberFormat="1" applyFont="1" applyFill="1" applyBorder="1" applyAlignment="1">
      <alignment horizontal="right"/>
    </xf>
    <xf numFmtId="0" fontId="6" fillId="5" borderId="7" xfId="0" applyFont="1" applyFill="1" applyBorder="1"/>
    <xf numFmtId="3" fontId="6" fillId="2" borderId="9" xfId="0" applyNumberFormat="1" applyFont="1" applyFill="1" applyBorder="1"/>
    <xf numFmtId="0" fontId="16" fillId="2" borderId="6" xfId="0" applyFont="1" applyFill="1" applyBorder="1" applyAlignment="1">
      <alignment horizontal="center"/>
    </xf>
    <xf numFmtId="0" fontId="16" fillId="2" borderId="6" xfId="0" applyFont="1" applyFill="1" applyBorder="1"/>
    <xf numFmtId="0" fontId="5" fillId="2" borderId="6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vertical="justify" wrapText="1"/>
    </xf>
    <xf numFmtId="3" fontId="6" fillId="2" borderId="0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15" fillId="2" borderId="14" xfId="0" applyFont="1" applyFill="1" applyBorder="1"/>
    <xf numFmtId="0" fontId="15" fillId="2" borderId="6" xfId="0" applyFont="1" applyFill="1" applyBorder="1" applyAlignment="1">
      <alignment vertical="justify"/>
    </xf>
    <xf numFmtId="0" fontId="15" fillId="2" borderId="9" xfId="0" applyFont="1" applyFill="1" applyBorder="1"/>
    <xf numFmtId="0" fontId="1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15" fillId="2" borderId="6" xfId="0" applyNumberFormat="1" applyFont="1" applyFill="1" applyBorder="1" applyAlignment="1">
      <alignment vertical="justify" wrapText="1"/>
    </xf>
    <xf numFmtId="3" fontId="20" fillId="6" borderId="9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center" vertical="top"/>
    </xf>
    <xf numFmtId="0" fontId="15" fillId="6" borderId="6" xfId="0" applyFont="1" applyFill="1" applyBorder="1" applyAlignment="1">
      <alignment vertical="justify"/>
    </xf>
    <xf numFmtId="0" fontId="6" fillId="5" borderId="6" xfId="0" applyFont="1" applyFill="1" applyBorder="1" applyAlignment="1">
      <alignment horizontal="center" vertical="top"/>
    </xf>
    <xf numFmtId="14" fontId="16" fillId="5" borderId="6" xfId="0" applyNumberFormat="1" applyFont="1" applyFill="1" applyBorder="1" applyAlignment="1">
      <alignment vertical="justify" wrapText="1"/>
    </xf>
    <xf numFmtId="0" fontId="15" fillId="2" borderId="7" xfId="0" applyFont="1" applyFill="1" applyBorder="1" applyAlignment="1">
      <alignment vertical="justify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justify"/>
    </xf>
    <xf numFmtId="0" fontId="15" fillId="6" borderId="6" xfId="0" applyFont="1" applyFill="1" applyBorder="1" applyAlignment="1">
      <alignment vertical="justify" wrapText="1"/>
    </xf>
    <xf numFmtId="14" fontId="5" fillId="2" borderId="6" xfId="0" applyNumberFormat="1" applyFont="1" applyFill="1" applyBorder="1" applyAlignment="1">
      <alignment vertical="justify" wrapText="1"/>
    </xf>
    <xf numFmtId="0" fontId="5" fillId="2" borderId="6" xfId="0" applyFont="1" applyFill="1" applyBorder="1" applyAlignment="1">
      <alignment vertical="justify" wrapText="1"/>
    </xf>
    <xf numFmtId="3" fontId="5" fillId="2" borderId="6" xfId="0" applyNumberFormat="1" applyFont="1" applyFill="1" applyBorder="1" applyAlignment="1">
      <alignment horizontal="right" vertical="center"/>
    </xf>
    <xf numFmtId="3" fontId="15" fillId="2" borderId="6" xfId="0" applyNumberFormat="1" applyFont="1" applyFill="1" applyBorder="1" applyAlignment="1">
      <alignment horizontal="right" vertical="center"/>
    </xf>
    <xf numFmtId="14" fontId="15" fillId="2" borderId="8" xfId="0" applyNumberFormat="1" applyFont="1" applyFill="1" applyBorder="1" applyAlignment="1">
      <alignment vertical="justify" wrapText="1"/>
    </xf>
    <xf numFmtId="0" fontId="5" fillId="2" borderId="6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right"/>
    </xf>
    <xf numFmtId="0" fontId="5" fillId="7" borderId="6" xfId="0" applyFont="1" applyFill="1" applyBorder="1" applyAlignment="1">
      <alignment horizontal="center"/>
    </xf>
    <xf numFmtId="3" fontId="5" fillId="7" borderId="6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 vertical="top"/>
    </xf>
    <xf numFmtId="0" fontId="15" fillId="2" borderId="7" xfId="0" applyFont="1" applyFill="1" applyBorder="1"/>
    <xf numFmtId="0" fontId="5" fillId="7" borderId="6" xfId="0" applyFont="1" applyFill="1" applyBorder="1" applyAlignment="1">
      <alignment wrapText="1"/>
    </xf>
    <xf numFmtId="0" fontId="6" fillId="5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4" fillId="5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5" fillId="2" borderId="11" xfId="0" applyFont="1" applyFill="1" applyBorder="1"/>
    <xf numFmtId="49" fontId="6" fillId="5" borderId="8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/>
    </xf>
    <xf numFmtId="3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3" fontId="5" fillId="2" borderId="6" xfId="0" applyNumberFormat="1" applyFont="1" applyFill="1" applyBorder="1" applyProtection="1">
      <protection locked="0"/>
    </xf>
    <xf numFmtId="0" fontId="5" fillId="5" borderId="6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15" fillId="7" borderId="6" xfId="0" applyFont="1" applyFill="1" applyBorder="1" applyAlignment="1">
      <alignment horizontal="center"/>
    </xf>
    <xf numFmtId="3" fontId="15" fillId="7" borderId="6" xfId="0" applyNumberFormat="1" applyFont="1" applyFill="1" applyBorder="1" applyAlignment="1">
      <alignment horizontal="right"/>
    </xf>
    <xf numFmtId="0" fontId="15" fillId="7" borderId="6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/>
    </xf>
    <xf numFmtId="49" fontId="8" fillId="5" borderId="8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left"/>
    </xf>
    <xf numFmtId="3" fontId="8" fillId="5" borderId="6" xfId="0" applyNumberFormat="1" applyFont="1" applyFill="1" applyBorder="1" applyAlignment="1">
      <alignment horizontal="right"/>
    </xf>
    <xf numFmtId="0" fontId="17" fillId="2" borderId="6" xfId="0" applyFont="1" applyFill="1" applyBorder="1" applyAlignment="1">
      <alignment horizontal="left"/>
    </xf>
    <xf numFmtId="3" fontId="8" fillId="2" borderId="6" xfId="0" applyNumberFormat="1" applyFont="1" applyFill="1" applyBorder="1" applyAlignment="1">
      <alignment horizontal="right"/>
    </xf>
    <xf numFmtId="3" fontId="8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3" fontId="17" fillId="2" borderId="6" xfId="0" applyNumberFormat="1" applyFont="1" applyFill="1" applyBorder="1" applyAlignment="1">
      <alignment horizontal="right"/>
    </xf>
    <xf numFmtId="0" fontId="17" fillId="5" borderId="6" xfId="0" applyFont="1" applyFill="1" applyBorder="1" applyAlignment="1">
      <alignment horizontal="center"/>
    </xf>
    <xf numFmtId="0" fontId="17" fillId="2" borderId="0" xfId="0" applyFont="1" applyFill="1" applyProtection="1">
      <protection locked="0"/>
    </xf>
    <xf numFmtId="0" fontId="17" fillId="2" borderId="6" xfId="0" applyFont="1" applyFill="1" applyBorder="1" applyAlignment="1">
      <alignment horizontal="left" wrapText="1"/>
    </xf>
    <xf numFmtId="3" fontId="17" fillId="6" borderId="6" xfId="0" applyNumberFormat="1" applyFont="1" applyFill="1" applyBorder="1" applyAlignment="1">
      <alignment horizontal="right"/>
    </xf>
    <xf numFmtId="0" fontId="8" fillId="5" borderId="6" xfId="0" applyFont="1" applyFill="1" applyBorder="1" applyAlignment="1">
      <alignment horizontal="left" vertical="justify"/>
    </xf>
    <xf numFmtId="0" fontId="17" fillId="8" borderId="6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left" wrapText="1"/>
    </xf>
    <xf numFmtId="3" fontId="18" fillId="8" borderId="6" xfId="0" applyNumberFormat="1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3" fontId="17" fillId="8" borderId="6" xfId="0" applyNumberFormat="1" applyFont="1" applyFill="1" applyBorder="1" applyAlignment="1">
      <alignment horizontal="right"/>
    </xf>
    <xf numFmtId="0" fontId="17" fillId="6" borderId="6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left" wrapText="1"/>
    </xf>
    <xf numFmtId="3" fontId="17" fillId="2" borderId="8" xfId="0" applyNumberFormat="1" applyFont="1" applyFill="1" applyBorder="1" applyAlignment="1">
      <alignment horizontal="right"/>
    </xf>
    <xf numFmtId="0" fontId="8" fillId="5" borderId="8" xfId="0" applyFont="1" applyFill="1" applyBorder="1" applyAlignment="1">
      <alignment horizontal="left"/>
    </xf>
    <xf numFmtId="3" fontId="8" fillId="5" borderId="8" xfId="0" applyNumberFormat="1" applyFont="1" applyFill="1" applyBorder="1" applyAlignment="1">
      <alignment horizontal="right"/>
    </xf>
    <xf numFmtId="0" fontId="17" fillId="2" borderId="8" xfId="0" applyFont="1" applyFill="1" applyBorder="1" applyAlignment="1">
      <alignment horizontal="left"/>
    </xf>
    <xf numFmtId="3" fontId="8" fillId="2" borderId="8" xfId="0" applyNumberFormat="1" applyFont="1" applyFill="1" applyBorder="1" applyAlignment="1">
      <alignment horizontal="right"/>
    </xf>
    <xf numFmtId="0" fontId="17" fillId="2" borderId="6" xfId="0" applyFont="1" applyFill="1" applyBorder="1" applyAlignment="1">
      <alignment vertical="justify" wrapText="1"/>
    </xf>
    <xf numFmtId="0" fontId="17" fillId="2" borderId="7" xfId="0" applyFont="1" applyFill="1" applyBorder="1" applyAlignment="1">
      <alignment vertical="justify" wrapText="1"/>
    </xf>
    <xf numFmtId="0" fontId="17" fillId="2" borderId="6" xfId="0" applyFont="1" applyFill="1" applyBorder="1" applyAlignment="1">
      <alignment wrapText="1"/>
    </xf>
    <xf numFmtId="0" fontId="17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 wrapText="1"/>
    </xf>
    <xf numFmtId="3" fontId="18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7" fillId="5" borderId="6" xfId="0" applyFont="1" applyFill="1" applyBorder="1" applyAlignment="1" applyProtection="1">
      <alignment horizontal="center"/>
      <protection locked="0"/>
    </xf>
    <xf numFmtId="3" fontId="17" fillId="5" borderId="6" xfId="0" applyNumberFormat="1" applyFont="1" applyFill="1" applyBorder="1" applyAlignment="1" applyProtection="1">
      <alignment horizontal="right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left" wrapText="1"/>
      <protection locked="0"/>
    </xf>
    <xf numFmtId="3" fontId="17" fillId="2" borderId="6" xfId="0" applyNumberFormat="1" applyFont="1" applyFill="1" applyBorder="1" applyAlignment="1" applyProtection="1">
      <alignment horizontal="right"/>
      <protection locked="0"/>
    </xf>
    <xf numFmtId="0" fontId="17" fillId="2" borderId="6" xfId="0" applyFont="1" applyFill="1" applyBorder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justify"/>
    </xf>
    <xf numFmtId="49" fontId="6" fillId="5" borderId="8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3" fontId="5" fillId="0" borderId="6" xfId="0" applyNumberFormat="1" applyFont="1" applyBorder="1"/>
    <xf numFmtId="0" fontId="5" fillId="0" borderId="0" xfId="0" applyFont="1" applyAlignment="1" applyProtection="1">
      <protection locked="0"/>
    </xf>
    <xf numFmtId="0" fontId="6" fillId="6" borderId="0" xfId="0" applyFont="1" applyFill="1" applyBorder="1" applyAlignment="1">
      <alignment horizontal="center"/>
    </xf>
    <xf numFmtId="3" fontId="6" fillId="6" borderId="0" xfId="0" applyNumberFormat="1" applyFont="1" applyFill="1" applyBorder="1"/>
    <xf numFmtId="0" fontId="5" fillId="6" borderId="6" xfId="0" applyFont="1" applyFill="1" applyBorder="1" applyAlignment="1">
      <alignment wrapText="1"/>
    </xf>
    <xf numFmtId="0" fontId="17" fillId="6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9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wrapText="1"/>
    </xf>
    <xf numFmtId="3" fontId="5" fillId="9" borderId="6" xfId="0" applyNumberFormat="1" applyFont="1" applyFill="1" applyBorder="1" applyAlignment="1">
      <alignment horizontal="right"/>
    </xf>
    <xf numFmtId="0" fontId="17" fillId="8" borderId="6" xfId="0" applyFont="1" applyFill="1" applyBorder="1" applyAlignment="1">
      <alignment horizontal="left" wrapText="1"/>
    </xf>
    <xf numFmtId="0" fontId="17" fillId="6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/>
    </xf>
    <xf numFmtId="3" fontId="6" fillId="5" borderId="8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6" borderId="7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6" fillId="6" borderId="3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6" fillId="2" borderId="6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5" fillId="9" borderId="8" xfId="0" applyNumberFormat="1" applyFont="1" applyFill="1" applyBorder="1" applyAlignment="1">
      <alignment horizontal="right"/>
    </xf>
    <xf numFmtId="3" fontId="6" fillId="6" borderId="0" xfId="0" applyNumberFormat="1" applyFont="1" applyFill="1" applyBorder="1" applyAlignment="1">
      <alignment horizontal="right"/>
    </xf>
    <xf numFmtId="0" fontId="10" fillId="6" borderId="13" xfId="0" applyFont="1" applyFill="1" applyBorder="1"/>
    <xf numFmtId="0" fontId="15" fillId="2" borderId="7" xfId="0" applyFont="1" applyFill="1" applyBorder="1" applyAlignment="1">
      <alignment wrapText="1"/>
    </xf>
    <xf numFmtId="0" fontId="5" fillId="6" borderId="7" xfId="0" applyFont="1" applyFill="1" applyBorder="1" applyAlignment="1">
      <alignment wrapText="1"/>
    </xf>
    <xf numFmtId="0" fontId="5" fillId="12" borderId="6" xfId="0" applyFont="1" applyFill="1" applyBorder="1" applyAlignment="1">
      <alignment horizontal="center"/>
    </xf>
    <xf numFmtId="0" fontId="5" fillId="12" borderId="8" xfId="0" applyFont="1" applyFill="1" applyBorder="1" applyAlignment="1">
      <alignment wrapText="1"/>
    </xf>
    <xf numFmtId="3" fontId="5" fillId="12" borderId="6" xfId="0" applyNumberFormat="1" applyFont="1" applyFill="1" applyBorder="1" applyAlignment="1">
      <alignment horizontal="right"/>
    </xf>
    <xf numFmtId="0" fontId="5" fillId="12" borderId="6" xfId="0" applyFont="1" applyFill="1" applyBorder="1" applyAlignment="1">
      <alignment wrapText="1"/>
    </xf>
    <xf numFmtId="0" fontId="15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left" wrapText="1"/>
    </xf>
    <xf numFmtId="14" fontId="15" fillId="2" borderId="6" xfId="0" applyNumberFormat="1" applyFont="1" applyFill="1" applyBorder="1" applyAlignment="1">
      <alignment horizontal="left" wrapText="1"/>
    </xf>
    <xf numFmtId="14" fontId="5" fillId="2" borderId="6" xfId="0" applyNumberFormat="1" applyFont="1" applyFill="1" applyBorder="1" applyAlignment="1">
      <alignment wrapText="1"/>
    </xf>
    <xf numFmtId="0" fontId="15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wrapText="1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right"/>
    </xf>
    <xf numFmtId="3" fontId="8" fillId="7" borderId="6" xfId="0" applyNumberFormat="1" applyFont="1" applyFill="1" applyBorder="1" applyAlignment="1">
      <alignment horizontal="right"/>
    </xf>
    <xf numFmtId="0" fontId="17" fillId="2" borderId="0" xfId="0" applyFont="1" applyFill="1" applyBorder="1" applyAlignment="1" applyProtection="1">
      <alignment horizontal="right"/>
      <protection locked="0"/>
    </xf>
    <xf numFmtId="0" fontId="17" fillId="2" borderId="0" xfId="0" applyFont="1" applyFill="1" applyAlignment="1" applyProtection="1">
      <alignment horizontal="right"/>
      <protection locked="0"/>
    </xf>
    <xf numFmtId="3" fontId="17" fillId="9" borderId="6" xfId="0" applyNumberFormat="1" applyFont="1" applyFill="1" applyBorder="1" applyAlignment="1">
      <alignment horizontal="right"/>
    </xf>
    <xf numFmtId="0" fontId="6" fillId="11" borderId="6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10" fillId="6" borderId="0" xfId="0" applyFont="1" applyFill="1"/>
    <xf numFmtId="0" fontId="11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0" fillId="6" borderId="0" xfId="0" applyFont="1" applyFill="1" applyBorder="1"/>
    <xf numFmtId="0" fontId="13" fillId="6" borderId="0" xfId="0" applyFont="1" applyFill="1" applyBorder="1"/>
    <xf numFmtId="0" fontId="13" fillId="6" borderId="2" xfId="0" applyFont="1" applyFill="1" applyBorder="1"/>
    <xf numFmtId="0" fontId="13" fillId="6" borderId="0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2" fillId="6" borderId="13" xfId="0" applyFont="1" applyFill="1" applyBorder="1"/>
    <xf numFmtId="0" fontId="11" fillId="6" borderId="0" xfId="0" applyFont="1" applyFill="1" applyBorder="1"/>
    <xf numFmtId="0" fontId="5" fillId="13" borderId="6" xfId="0" applyFont="1" applyFill="1" applyBorder="1" applyAlignment="1">
      <alignment horizontal="center"/>
    </xf>
    <xf numFmtId="3" fontId="6" fillId="6" borderId="9" xfId="0" applyNumberFormat="1" applyFont="1" applyFill="1" applyBorder="1"/>
    <xf numFmtId="3" fontId="5" fillId="6" borderId="12" xfId="0" applyNumberFormat="1" applyFont="1" applyFill="1" applyBorder="1" applyAlignment="1">
      <alignment horizontal="right"/>
    </xf>
    <xf numFmtId="3" fontId="6" fillId="6" borderId="6" xfId="0" applyNumberFormat="1" applyFont="1" applyFill="1" applyBorder="1" applyAlignment="1">
      <alignment horizontal="right"/>
    </xf>
    <xf numFmtId="0" fontId="5" fillId="0" borderId="0" xfId="0" applyFont="1"/>
    <xf numFmtId="0" fontId="10" fillId="14" borderId="13" xfId="0" applyFont="1" applyFill="1" applyBorder="1" applyAlignment="1">
      <alignment horizontal="center"/>
    </xf>
    <xf numFmtId="0" fontId="10" fillId="14" borderId="2" xfId="0" applyFont="1" applyFill="1" applyBorder="1"/>
    <xf numFmtId="0" fontId="5" fillId="14" borderId="6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/>
    </xf>
    <xf numFmtId="0" fontId="15" fillId="14" borderId="6" xfId="0" applyFont="1" applyFill="1" applyBorder="1" applyAlignment="1">
      <alignment vertical="justify" wrapText="1"/>
    </xf>
    <xf numFmtId="3" fontId="5" fillId="14" borderId="6" xfId="0" applyNumberFormat="1" applyFont="1" applyFill="1" applyBorder="1" applyAlignment="1">
      <alignment horizontal="right"/>
    </xf>
    <xf numFmtId="3" fontId="5" fillId="14" borderId="8" xfId="0" applyNumberFormat="1" applyFont="1" applyFill="1" applyBorder="1" applyAlignment="1">
      <alignment horizontal="right"/>
    </xf>
    <xf numFmtId="0" fontId="17" fillId="6" borderId="6" xfId="0" applyFont="1" applyFill="1" applyBorder="1" applyAlignment="1" applyProtection="1">
      <alignment horizontal="left" wrapText="1"/>
      <protection locked="0"/>
    </xf>
    <xf numFmtId="0" fontId="17" fillId="13" borderId="6" xfId="0" applyFont="1" applyFill="1" applyBorder="1" applyAlignment="1" applyProtection="1">
      <alignment horizontal="left" wrapText="1"/>
      <protection locked="0"/>
    </xf>
    <xf numFmtId="3" fontId="5" fillId="13" borderId="6" xfId="0" applyNumberFormat="1" applyFont="1" applyFill="1" applyBorder="1"/>
    <xf numFmtId="3" fontId="5" fillId="10" borderId="8" xfId="0" applyNumberFormat="1" applyFont="1" applyFill="1" applyBorder="1" applyAlignment="1">
      <alignment horizontal="right"/>
    </xf>
    <xf numFmtId="0" fontId="6" fillId="6" borderId="0" xfId="0" applyFont="1" applyFill="1" applyBorder="1"/>
    <xf numFmtId="3" fontId="5" fillId="12" borderId="6" xfId="0" applyNumberFormat="1" applyFont="1" applyFill="1" applyBorder="1" applyProtection="1">
      <protection locked="0"/>
    </xf>
    <xf numFmtId="3" fontId="5" fillId="7" borderId="6" xfId="0" applyNumberFormat="1" applyFont="1" applyFill="1" applyBorder="1" applyProtection="1">
      <protection locked="0"/>
    </xf>
    <xf numFmtId="3" fontId="5" fillId="15" borderId="6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wrapText="1"/>
    </xf>
    <xf numFmtId="0" fontId="6" fillId="5" borderId="7" xfId="0" applyFont="1" applyFill="1" applyBorder="1" applyAlignment="1">
      <alignment horizontal="center" vertical="center" wrapText="1"/>
    </xf>
    <xf numFmtId="0" fontId="15" fillId="2" borderId="0" xfId="0" applyFont="1" applyFill="1" applyProtection="1">
      <protection locked="0"/>
    </xf>
    <xf numFmtId="0" fontId="5" fillId="12" borderId="0" xfId="0" applyFont="1" applyFill="1" applyProtection="1">
      <protection locked="0"/>
    </xf>
    <xf numFmtId="0" fontId="5" fillId="5" borderId="6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protection locked="0"/>
    </xf>
    <xf numFmtId="0" fontId="17" fillId="9" borderId="6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 wrapText="1"/>
    </xf>
    <xf numFmtId="3" fontId="8" fillId="6" borderId="6" xfId="0" applyNumberFormat="1" applyFont="1" applyFill="1" applyBorder="1" applyAlignment="1">
      <alignment horizontal="right"/>
    </xf>
    <xf numFmtId="0" fontId="6" fillId="11" borderId="6" xfId="0" applyFont="1" applyFill="1" applyBorder="1" applyAlignment="1">
      <alignment horizontal="left" wrapText="1"/>
    </xf>
    <xf numFmtId="3" fontId="6" fillId="11" borderId="6" xfId="0" applyNumberFormat="1" applyFont="1" applyFill="1" applyBorder="1" applyAlignment="1">
      <alignment horizontal="right"/>
    </xf>
    <xf numFmtId="0" fontId="17" fillId="9" borderId="6" xfId="0" applyFont="1" applyFill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right"/>
    </xf>
    <xf numFmtId="3" fontId="5" fillId="15" borderId="0" xfId="0" applyNumberFormat="1" applyFont="1" applyFill="1" applyBorder="1" applyAlignment="1">
      <alignment horizontal="right"/>
    </xf>
    <xf numFmtId="3" fontId="5" fillId="15" borderId="8" xfId="0" applyNumberFormat="1" applyFont="1" applyFill="1" applyBorder="1" applyAlignment="1">
      <alignment horizontal="right"/>
    </xf>
    <xf numFmtId="3" fontId="5" fillId="15" borderId="6" xfId="0" applyNumberFormat="1" applyFont="1" applyFill="1" applyBorder="1"/>
    <xf numFmtId="0" fontId="5" fillId="6" borderId="6" xfId="0" applyFont="1" applyFill="1" applyBorder="1" applyAlignment="1">
      <alignment horizontal="center" vertical="center"/>
    </xf>
    <xf numFmtId="16" fontId="15" fillId="6" borderId="6" xfId="0" applyNumberFormat="1" applyFont="1" applyFill="1" applyBorder="1" applyAlignment="1">
      <alignment vertical="justify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3" fontId="5" fillId="0" borderId="6" xfId="0" applyNumberFormat="1" applyFont="1" applyBorder="1" applyProtection="1">
      <protection locked="0"/>
    </xf>
    <xf numFmtId="0" fontId="5" fillId="11" borderId="6" xfId="0" applyFont="1" applyFill="1" applyBorder="1" applyAlignment="1" applyProtection="1">
      <alignment horizontal="center"/>
      <protection locked="0"/>
    </xf>
    <xf numFmtId="0" fontId="5" fillId="11" borderId="6" xfId="0" applyFont="1" applyFill="1" applyBorder="1" applyProtection="1">
      <protection locked="0"/>
    </xf>
    <xf numFmtId="3" fontId="5" fillId="11" borderId="6" xfId="0" applyNumberFormat="1" applyFont="1" applyFill="1" applyBorder="1" applyProtection="1">
      <protection locked="0"/>
    </xf>
    <xf numFmtId="0" fontId="17" fillId="11" borderId="6" xfId="0" applyFont="1" applyFill="1" applyBorder="1" applyAlignment="1" applyProtection="1">
      <alignment horizontal="left" wrapText="1"/>
      <protection locked="0"/>
    </xf>
    <xf numFmtId="3" fontId="5" fillId="11" borderId="6" xfId="0" applyNumberFormat="1" applyFont="1" applyFill="1" applyBorder="1"/>
    <xf numFmtId="0" fontId="6" fillId="5" borderId="6" xfId="0" applyFont="1" applyFill="1" applyBorder="1" applyAlignment="1" applyProtection="1">
      <alignment horizontal="left"/>
      <protection locked="0"/>
    </xf>
    <xf numFmtId="3" fontId="5" fillId="6" borderId="3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0" fontId="5" fillId="6" borderId="7" xfId="0" applyFont="1" applyFill="1" applyBorder="1" applyAlignment="1">
      <alignment horizontal="center"/>
    </xf>
    <xf numFmtId="3" fontId="15" fillId="6" borderId="12" xfId="0" applyNumberFormat="1" applyFont="1" applyFill="1" applyBorder="1" applyAlignment="1">
      <alignment horizontal="right"/>
    </xf>
    <xf numFmtId="14" fontId="15" fillId="6" borderId="6" xfId="0" applyNumberFormat="1" applyFont="1" applyFill="1" applyBorder="1" applyAlignment="1">
      <alignment vertical="justify" wrapText="1"/>
    </xf>
    <xf numFmtId="0" fontId="13" fillId="6" borderId="1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3" fontId="8" fillId="9" borderId="6" xfId="0" applyNumberFormat="1" applyFont="1" applyFill="1" applyBorder="1" applyAlignment="1">
      <alignment horizontal="right"/>
    </xf>
    <xf numFmtId="0" fontId="17" fillId="9" borderId="6" xfId="0" applyFont="1" applyFill="1" applyBorder="1" applyAlignment="1" applyProtection="1">
      <alignment horizontal="center"/>
      <protection locked="0"/>
    </xf>
    <xf numFmtId="0" fontId="17" fillId="9" borderId="6" xfId="0" applyFont="1" applyFill="1" applyBorder="1" applyAlignment="1" applyProtection="1">
      <alignment horizontal="left" wrapText="1"/>
      <protection locked="0"/>
    </xf>
    <xf numFmtId="3" fontId="17" fillId="9" borderId="6" xfId="0" applyNumberFormat="1" applyFont="1" applyFill="1" applyBorder="1" applyAlignment="1" applyProtection="1">
      <alignment horizontal="right"/>
      <protection locked="0"/>
    </xf>
    <xf numFmtId="0" fontId="17" fillId="7" borderId="6" xfId="0" applyFont="1" applyFill="1" applyBorder="1" applyAlignment="1" applyProtection="1">
      <alignment horizontal="center"/>
      <protection locked="0"/>
    </xf>
    <xf numFmtId="0" fontId="17" fillId="7" borderId="6" xfId="0" applyFont="1" applyFill="1" applyBorder="1" applyAlignment="1" applyProtection="1">
      <alignment horizontal="left" wrapText="1"/>
      <protection locked="0"/>
    </xf>
    <xf numFmtId="3" fontId="17" fillId="7" borderId="6" xfId="0" applyNumberFormat="1" applyFont="1" applyFill="1" applyBorder="1" applyAlignment="1" applyProtection="1">
      <alignment horizontal="right"/>
      <protection locked="0"/>
    </xf>
    <xf numFmtId="0" fontId="18" fillId="9" borderId="6" xfId="0" applyFont="1" applyFill="1" applyBorder="1" applyAlignment="1">
      <alignment horizontal="left" wrapText="1"/>
    </xf>
    <xf numFmtId="3" fontId="18" fillId="9" borderId="6" xfId="0" applyNumberFormat="1" applyFont="1" applyFill="1" applyBorder="1" applyAlignment="1">
      <alignment horizontal="right"/>
    </xf>
    <xf numFmtId="3" fontId="8" fillId="6" borderId="8" xfId="0" applyNumberFormat="1" applyFont="1" applyFill="1" applyBorder="1" applyAlignment="1">
      <alignment horizontal="right"/>
    </xf>
    <xf numFmtId="0" fontId="5" fillId="6" borderId="8" xfId="0" applyFont="1" applyFill="1" applyBorder="1" applyAlignment="1">
      <alignment horizontal="left" wrapText="1"/>
    </xf>
    <xf numFmtId="0" fontId="17" fillId="6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justify" wrapText="1"/>
    </xf>
    <xf numFmtId="3" fontId="17" fillId="6" borderId="9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0" fontId="17" fillId="2" borderId="6" xfId="0" applyFont="1" applyFill="1" applyBorder="1" applyAlignment="1">
      <alignment vertical="top" wrapText="1"/>
    </xf>
    <xf numFmtId="0" fontId="11" fillId="4" borderId="6" xfId="0" applyFont="1" applyFill="1" applyBorder="1" applyAlignment="1">
      <alignment textRotation="90" wrapText="1"/>
    </xf>
    <xf numFmtId="0" fontId="11" fillId="11" borderId="6" xfId="0" applyFont="1" applyFill="1" applyBorder="1" applyAlignment="1">
      <alignment textRotation="90" wrapText="1"/>
    </xf>
    <xf numFmtId="0" fontId="6" fillId="2" borderId="8" xfId="0" applyFont="1" applyFill="1" applyBorder="1"/>
    <xf numFmtId="0" fontId="6" fillId="6" borderId="6" xfId="0" applyFont="1" applyFill="1" applyBorder="1"/>
    <xf numFmtId="0" fontId="6" fillId="2" borderId="6" xfId="0" applyFont="1" applyFill="1" applyBorder="1" applyAlignment="1">
      <alignment vertical="justify"/>
    </xf>
    <xf numFmtId="14" fontId="6" fillId="2" borderId="6" xfId="0" applyNumberFormat="1" applyFont="1" applyFill="1" applyBorder="1" applyAlignment="1">
      <alignment vertical="justify" wrapText="1"/>
    </xf>
    <xf numFmtId="0" fontId="5" fillId="6" borderId="0" xfId="0" applyFont="1" applyFill="1" applyBorder="1"/>
    <xf numFmtId="3" fontId="5" fillId="6" borderId="0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49" fontId="8" fillId="5" borderId="12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right"/>
    </xf>
    <xf numFmtId="3" fontId="8" fillId="2" borderId="9" xfId="0" applyNumberFormat="1" applyFont="1" applyFill="1" applyBorder="1" applyAlignment="1">
      <alignment horizontal="right"/>
    </xf>
    <xf numFmtId="3" fontId="17" fillId="2" borderId="9" xfId="0" applyNumberFormat="1" applyFont="1" applyFill="1" applyBorder="1" applyAlignment="1">
      <alignment horizontal="right"/>
    </xf>
    <xf numFmtId="3" fontId="18" fillId="9" borderId="9" xfId="0" applyNumberFormat="1" applyFont="1" applyFill="1" applyBorder="1" applyAlignment="1">
      <alignment horizontal="right"/>
    </xf>
    <xf numFmtId="3" fontId="18" fillId="8" borderId="9" xfId="0" applyNumberFormat="1" applyFont="1" applyFill="1" applyBorder="1" applyAlignment="1">
      <alignment horizontal="right"/>
    </xf>
    <xf numFmtId="3" fontId="17" fillId="8" borderId="9" xfId="0" applyNumberFormat="1" applyFont="1" applyFill="1" applyBorder="1" applyAlignment="1">
      <alignment horizontal="right"/>
    </xf>
    <xf numFmtId="3" fontId="17" fillId="9" borderId="9" xfId="0" applyNumberFormat="1" applyFont="1" applyFill="1" applyBorder="1" applyAlignment="1">
      <alignment horizontal="right"/>
    </xf>
    <xf numFmtId="3" fontId="17" fillId="2" borderId="12" xfId="0" applyNumberFormat="1" applyFont="1" applyFill="1" applyBorder="1" applyAlignment="1">
      <alignment horizontal="right"/>
    </xf>
    <xf numFmtId="3" fontId="8" fillId="5" borderId="12" xfId="0" applyNumberFormat="1" applyFont="1" applyFill="1" applyBorder="1" applyAlignment="1">
      <alignment horizontal="right"/>
    </xf>
    <xf numFmtId="3" fontId="8" fillId="6" borderId="12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3" fontId="6" fillId="11" borderId="9" xfId="0" applyNumberFormat="1" applyFont="1" applyFill="1" applyBorder="1" applyAlignment="1">
      <alignment horizontal="right"/>
    </xf>
    <xf numFmtId="3" fontId="17" fillId="5" borderId="9" xfId="0" applyNumberFormat="1" applyFont="1" applyFill="1" applyBorder="1" applyAlignment="1" applyProtection="1">
      <alignment horizontal="right"/>
      <protection locked="0"/>
    </xf>
    <xf numFmtId="3" fontId="17" fillId="9" borderId="9" xfId="0" applyNumberFormat="1" applyFont="1" applyFill="1" applyBorder="1" applyAlignment="1" applyProtection="1">
      <alignment horizontal="right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3" fontId="8" fillId="2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49" fontId="8" fillId="5" borderId="23" xfId="0" applyNumberFormat="1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3" fontId="8" fillId="5" borderId="15" xfId="0" applyNumberFormat="1" applyFont="1" applyFill="1" applyBorder="1" applyAlignment="1">
      <alignment horizontal="right"/>
    </xf>
    <xf numFmtId="3" fontId="8" fillId="5" borderId="24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8" fillId="2" borderId="24" xfId="0" applyNumberFormat="1" applyFont="1" applyFill="1" applyBorder="1" applyAlignment="1">
      <alignment horizontal="right"/>
    </xf>
    <xf numFmtId="3" fontId="17" fillId="2" borderId="15" xfId="0" applyNumberFormat="1" applyFont="1" applyFill="1" applyBorder="1" applyAlignment="1">
      <alignment horizontal="right"/>
    </xf>
    <xf numFmtId="3" fontId="17" fillId="2" borderId="24" xfId="0" applyNumberFormat="1" applyFont="1" applyFill="1" applyBorder="1" applyAlignment="1">
      <alignment horizontal="right"/>
    </xf>
    <xf numFmtId="3" fontId="17" fillId="9" borderId="15" xfId="0" applyNumberFormat="1" applyFont="1" applyFill="1" applyBorder="1" applyAlignment="1">
      <alignment horizontal="right"/>
    </xf>
    <xf numFmtId="3" fontId="17" fillId="9" borderId="24" xfId="0" applyNumberFormat="1" applyFont="1" applyFill="1" applyBorder="1" applyProtection="1">
      <protection locked="0"/>
    </xf>
    <xf numFmtId="3" fontId="5" fillId="2" borderId="15" xfId="0" applyNumberFormat="1" applyFont="1" applyFill="1" applyBorder="1" applyAlignment="1">
      <alignment horizontal="right"/>
    </xf>
    <xf numFmtId="3" fontId="17" fillId="6" borderId="24" xfId="0" applyNumberFormat="1" applyFont="1" applyFill="1" applyBorder="1" applyAlignment="1">
      <alignment horizontal="right"/>
    </xf>
    <xf numFmtId="3" fontId="17" fillId="6" borderId="15" xfId="0" applyNumberFormat="1" applyFont="1" applyFill="1" applyBorder="1" applyAlignment="1">
      <alignment horizontal="right"/>
    </xf>
    <xf numFmtId="3" fontId="17" fillId="9" borderId="24" xfId="0" applyNumberFormat="1" applyFont="1" applyFill="1" applyBorder="1" applyAlignment="1">
      <alignment horizontal="right"/>
    </xf>
    <xf numFmtId="3" fontId="17" fillId="8" borderId="15" xfId="0" applyNumberFormat="1" applyFont="1" applyFill="1" applyBorder="1" applyAlignment="1">
      <alignment horizontal="right"/>
    </xf>
    <xf numFmtId="3" fontId="17" fillId="2" borderId="22" xfId="0" applyNumberFormat="1" applyFont="1" applyFill="1" applyBorder="1" applyAlignment="1">
      <alignment horizontal="right"/>
    </xf>
    <xf numFmtId="3" fontId="17" fillId="2" borderId="23" xfId="0" applyNumberFormat="1" applyFont="1" applyFill="1" applyBorder="1" applyAlignment="1">
      <alignment horizontal="right"/>
    </xf>
    <xf numFmtId="3" fontId="8" fillId="5" borderId="22" xfId="0" applyNumberFormat="1" applyFont="1" applyFill="1" applyBorder="1" applyAlignment="1">
      <alignment horizontal="right"/>
    </xf>
    <xf numFmtId="3" fontId="8" fillId="5" borderId="23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3" fontId="5" fillId="6" borderId="22" xfId="0" applyNumberFormat="1" applyFont="1" applyFill="1" applyBorder="1" applyAlignment="1">
      <alignment horizontal="right"/>
    </xf>
    <xf numFmtId="3" fontId="5" fillId="6" borderId="23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/>
    </xf>
    <xf numFmtId="3" fontId="8" fillId="2" borderId="23" xfId="0" applyNumberFormat="1" applyFont="1" applyFill="1" applyBorder="1" applyAlignment="1">
      <alignment horizontal="right"/>
    </xf>
    <xf numFmtId="3" fontId="17" fillId="6" borderId="23" xfId="0" applyNumberFormat="1" applyFont="1" applyFill="1" applyBorder="1" applyAlignment="1">
      <alignment horizontal="right"/>
    </xf>
    <xf numFmtId="3" fontId="8" fillId="7" borderId="15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6" fillId="11" borderId="24" xfId="0" applyNumberFormat="1" applyFont="1" applyFill="1" applyBorder="1" applyAlignment="1">
      <alignment horizontal="right"/>
    </xf>
    <xf numFmtId="3" fontId="8" fillId="9" borderId="15" xfId="0" applyNumberFormat="1" applyFont="1" applyFill="1" applyBorder="1" applyAlignment="1">
      <alignment horizontal="right"/>
    </xf>
    <xf numFmtId="3" fontId="17" fillId="9" borderId="23" xfId="0" applyNumberFormat="1" applyFont="1" applyFill="1" applyBorder="1" applyAlignment="1">
      <alignment horizontal="right"/>
    </xf>
    <xf numFmtId="3" fontId="18" fillId="2" borderId="25" xfId="0" applyNumberFormat="1" applyFont="1" applyFill="1" applyBorder="1" applyAlignment="1">
      <alignment horizontal="right"/>
    </xf>
    <xf numFmtId="3" fontId="17" fillId="2" borderId="26" xfId="0" applyNumberFormat="1" applyFont="1" applyFill="1" applyBorder="1" applyAlignment="1">
      <alignment horizontal="right"/>
    </xf>
    <xf numFmtId="3" fontId="5" fillId="2" borderId="24" xfId="0" applyNumberFormat="1" applyFont="1" applyFill="1" applyBorder="1" applyAlignment="1">
      <alignment horizontal="right"/>
    </xf>
    <xf numFmtId="3" fontId="17" fillId="2" borderId="25" xfId="0" applyNumberFormat="1" applyFont="1" applyFill="1" applyBorder="1" applyAlignment="1">
      <alignment horizontal="right"/>
    </xf>
    <xf numFmtId="3" fontId="17" fillId="5" borderId="15" xfId="0" applyNumberFormat="1" applyFont="1" applyFill="1" applyBorder="1" applyAlignment="1" applyProtection="1">
      <alignment horizontal="right"/>
      <protection locked="0"/>
    </xf>
    <xf numFmtId="3" fontId="17" fillId="5" borderId="24" xfId="0" applyNumberFormat="1" applyFont="1" applyFill="1" applyBorder="1" applyAlignment="1" applyProtection="1">
      <alignment horizontal="right"/>
      <protection locked="0"/>
    </xf>
    <xf numFmtId="3" fontId="17" fillId="9" borderId="24" xfId="0" applyNumberFormat="1" applyFont="1" applyFill="1" applyBorder="1" applyAlignment="1" applyProtection="1">
      <alignment horizontal="right"/>
      <protection locked="0"/>
    </xf>
    <xf numFmtId="3" fontId="17" fillId="7" borderId="24" xfId="0" applyNumberFormat="1" applyFont="1" applyFill="1" applyBorder="1" applyAlignment="1" applyProtection="1">
      <alignment horizontal="right"/>
      <protection locked="0"/>
    </xf>
    <xf numFmtId="3" fontId="17" fillId="2" borderId="24" xfId="0" applyNumberFormat="1" applyFont="1" applyFill="1" applyBorder="1" applyAlignment="1" applyProtection="1">
      <alignment horizontal="right"/>
      <protection locked="0"/>
    </xf>
    <xf numFmtId="2" fontId="8" fillId="2" borderId="15" xfId="0" applyNumberFormat="1" applyFont="1" applyFill="1" applyBorder="1" applyAlignment="1">
      <alignment horizontal="right"/>
    </xf>
    <xf numFmtId="0" fontId="17" fillId="6" borderId="6" xfId="0" applyFont="1" applyFill="1" applyBorder="1" applyAlignment="1">
      <alignment vertical="justify"/>
    </xf>
    <xf numFmtId="0" fontId="17" fillId="6" borderId="7" xfId="0" applyFont="1" applyFill="1" applyBorder="1" applyAlignment="1">
      <alignment vertical="justify"/>
    </xf>
    <xf numFmtId="0" fontId="17" fillId="6" borderId="8" xfId="0" applyFont="1" applyFill="1" applyBorder="1" applyAlignment="1">
      <alignment vertical="top" wrapText="1"/>
    </xf>
    <xf numFmtId="0" fontId="15" fillId="6" borderId="6" xfId="0" applyFont="1" applyFill="1" applyBorder="1"/>
    <xf numFmtId="0" fontId="5" fillId="6" borderId="7" xfId="0" applyFont="1" applyFill="1" applyBorder="1" applyAlignment="1">
      <alignment vertical="justify"/>
    </xf>
    <xf numFmtId="0" fontId="6" fillId="11" borderId="6" xfId="0" applyFont="1" applyFill="1" applyBorder="1"/>
    <xf numFmtId="0" fontId="15" fillId="6" borderId="6" xfId="0" applyFont="1" applyFill="1" applyBorder="1" applyAlignment="1">
      <alignment horizontal="left"/>
    </xf>
    <xf numFmtId="0" fontId="15" fillId="6" borderId="6" xfId="0" applyFont="1" applyFill="1" applyBorder="1" applyAlignment="1" applyProtection="1">
      <alignment horizontal="left" wrapText="1"/>
      <protection locked="0"/>
    </xf>
    <xf numFmtId="0" fontId="5" fillId="6" borderId="6" xfId="0" applyFont="1" applyFill="1" applyBorder="1" applyAlignment="1">
      <alignment horizontal="left"/>
    </xf>
    <xf numFmtId="0" fontId="6" fillId="6" borderId="6" xfId="0" applyFont="1" applyFill="1" applyBorder="1" applyAlignment="1">
      <alignment wrapText="1"/>
    </xf>
    <xf numFmtId="0" fontId="6" fillId="11" borderId="6" xfId="0" applyFont="1" applyFill="1" applyBorder="1" applyAlignment="1">
      <alignment wrapText="1"/>
    </xf>
    <xf numFmtId="3" fontId="20" fillId="6" borderId="6" xfId="0" applyNumberFormat="1" applyFont="1" applyFill="1" applyBorder="1" applyAlignment="1">
      <alignment horizontal="right"/>
    </xf>
    <xf numFmtId="0" fontId="20" fillId="6" borderId="6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left"/>
    </xf>
    <xf numFmtId="3" fontId="20" fillId="6" borderId="8" xfId="0" applyNumberFormat="1" applyFont="1" applyFill="1" applyBorder="1" applyAlignment="1">
      <alignment horizontal="right"/>
    </xf>
    <xf numFmtId="3" fontId="20" fillId="6" borderId="12" xfId="0" applyNumberFormat="1" applyFont="1" applyFill="1" applyBorder="1" applyAlignment="1">
      <alignment horizontal="right"/>
    </xf>
    <xf numFmtId="2" fontId="5" fillId="6" borderId="6" xfId="0" applyNumberFormat="1" applyFont="1" applyFill="1" applyBorder="1"/>
    <xf numFmtId="2" fontId="5" fillId="6" borderId="6" xfId="0" applyNumberFormat="1" applyFont="1" applyFill="1" applyBorder="1" applyAlignment="1">
      <alignment wrapText="1"/>
    </xf>
    <xf numFmtId="0" fontId="16" fillId="6" borderId="6" xfId="0" applyFont="1" applyFill="1" applyBorder="1" applyAlignment="1">
      <alignment wrapText="1"/>
    </xf>
    <xf numFmtId="0" fontId="5" fillId="6" borderId="6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wrapText="1"/>
    </xf>
    <xf numFmtId="14" fontId="16" fillId="11" borderId="6" xfId="0" applyNumberFormat="1" applyFont="1" applyFill="1" applyBorder="1" applyAlignment="1">
      <alignment vertical="justify" wrapText="1"/>
    </xf>
    <xf numFmtId="0" fontId="15" fillId="6" borderId="7" xfId="0" applyFont="1" applyFill="1" applyBorder="1"/>
    <xf numFmtId="0" fontId="24" fillId="2" borderId="0" xfId="0" applyFont="1" applyFill="1" applyBorder="1"/>
    <xf numFmtId="0" fontId="24" fillId="6" borderId="0" xfId="0" applyFont="1" applyFill="1" applyBorder="1"/>
    <xf numFmtId="0" fontId="20" fillId="2" borderId="0" xfId="0" applyFont="1" applyFill="1"/>
    <xf numFmtId="0" fontId="25" fillId="6" borderId="0" xfId="0" applyFont="1" applyFill="1" applyBorder="1" applyAlignment="1">
      <alignment horizontal="center"/>
    </xf>
    <xf numFmtId="3" fontId="15" fillId="6" borderId="6" xfId="0" applyNumberFormat="1" applyFont="1" applyFill="1" applyBorder="1"/>
    <xf numFmtId="0" fontId="17" fillId="16" borderId="6" xfId="0" applyFont="1" applyFill="1" applyBorder="1" applyAlignment="1">
      <alignment horizontal="center"/>
    </xf>
    <xf numFmtId="0" fontId="17" fillId="16" borderId="6" xfId="0" applyFont="1" applyFill="1" applyBorder="1" applyAlignment="1">
      <alignment horizontal="left" wrapText="1"/>
    </xf>
    <xf numFmtId="3" fontId="17" fillId="16" borderId="6" xfId="0" applyNumberFormat="1" applyFont="1" applyFill="1" applyBorder="1" applyAlignment="1">
      <alignment horizontal="right"/>
    </xf>
    <xf numFmtId="3" fontId="8" fillId="16" borderId="6" xfId="0" applyNumberFormat="1" applyFont="1" applyFill="1" applyBorder="1" applyAlignment="1">
      <alignment horizontal="right"/>
    </xf>
    <xf numFmtId="3" fontId="8" fillId="16" borderId="15" xfId="0" applyNumberFormat="1" applyFont="1" applyFill="1" applyBorder="1" applyAlignment="1">
      <alignment horizontal="right"/>
    </xf>
    <xf numFmtId="3" fontId="5" fillId="16" borderId="6" xfId="0" applyNumberFormat="1" applyFont="1" applyFill="1" applyBorder="1" applyAlignment="1">
      <alignment horizontal="right"/>
    </xf>
    <xf numFmtId="3" fontId="17" fillId="16" borderId="24" xfId="0" applyNumberFormat="1" applyFont="1" applyFill="1" applyBorder="1" applyAlignment="1">
      <alignment horizontal="right"/>
    </xf>
    <xf numFmtId="3" fontId="17" fillId="16" borderId="15" xfId="0" applyNumberFormat="1" applyFont="1" applyFill="1" applyBorder="1" applyAlignment="1">
      <alignment horizontal="right"/>
    </xf>
    <xf numFmtId="3" fontId="17" fillId="16" borderId="9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horizontal="center" vertical="top"/>
    </xf>
    <xf numFmtId="14" fontId="16" fillId="6" borderId="0" xfId="0" applyNumberFormat="1" applyFont="1" applyFill="1" applyBorder="1" applyAlignment="1">
      <alignment vertical="justify" wrapText="1"/>
    </xf>
    <xf numFmtId="0" fontId="24" fillId="6" borderId="13" xfId="0" applyFont="1" applyFill="1" applyBorder="1"/>
    <xf numFmtId="0" fontId="24" fillId="6" borderId="2" xfId="0" applyFont="1" applyFill="1" applyBorder="1"/>
    <xf numFmtId="0" fontId="20" fillId="6" borderId="0" xfId="0" applyFont="1" applyFill="1" applyBorder="1" applyAlignment="1">
      <alignment horizontal="center"/>
    </xf>
    <xf numFmtId="0" fontId="25" fillId="11" borderId="6" xfId="0" applyFont="1" applyFill="1" applyBorder="1" applyAlignment="1">
      <alignment horizontal="center"/>
    </xf>
    <xf numFmtId="3" fontId="25" fillId="11" borderId="6" xfId="0" applyNumberFormat="1" applyFont="1" applyFill="1" applyBorder="1"/>
    <xf numFmtId="3" fontId="6" fillId="11" borderId="9" xfId="0" applyNumberFormat="1" applyFont="1" applyFill="1" applyBorder="1"/>
    <xf numFmtId="0" fontId="10" fillId="9" borderId="2" xfId="0" applyFont="1" applyFill="1" applyBorder="1"/>
    <xf numFmtId="0" fontId="5" fillId="9" borderId="6" xfId="0" applyFont="1" applyFill="1" applyBorder="1" applyAlignment="1">
      <alignment horizontal="center" vertical="center"/>
    </xf>
    <xf numFmtId="3" fontId="6" fillId="11" borderId="6" xfId="0" applyNumberFormat="1" applyFont="1" applyFill="1" applyBorder="1"/>
    <xf numFmtId="0" fontId="15" fillId="14" borderId="6" xfId="0" applyFont="1" applyFill="1" applyBorder="1" applyAlignment="1">
      <alignment horizontal="center"/>
    </xf>
    <xf numFmtId="3" fontId="5" fillId="14" borderId="6" xfId="0" applyNumberFormat="1" applyFont="1" applyFill="1" applyBorder="1"/>
    <xf numFmtId="3" fontId="15" fillId="14" borderId="6" xfId="0" applyNumberFormat="1" applyFont="1" applyFill="1" applyBorder="1" applyAlignment="1">
      <alignment horizontal="right"/>
    </xf>
    <xf numFmtId="0" fontId="5" fillId="14" borderId="7" xfId="0" applyFont="1" applyFill="1" applyBorder="1" applyAlignment="1">
      <alignment horizontal="center"/>
    </xf>
    <xf numFmtId="3" fontId="15" fillId="14" borderId="8" xfId="0" applyNumberFormat="1" applyFont="1" applyFill="1" applyBorder="1" applyAlignment="1">
      <alignment horizontal="right"/>
    </xf>
    <xf numFmtId="0" fontId="20" fillId="14" borderId="6" xfId="0" applyFont="1" applyFill="1" applyBorder="1" applyAlignment="1">
      <alignment horizontal="center"/>
    </xf>
    <xf numFmtId="0" fontId="20" fillId="14" borderId="6" xfId="0" applyFont="1" applyFill="1" applyBorder="1" applyAlignment="1">
      <alignment horizontal="left" wrapText="1"/>
    </xf>
    <xf numFmtId="3" fontId="20" fillId="14" borderId="9" xfId="0" applyNumberFormat="1" applyFont="1" applyFill="1" applyBorder="1" applyAlignment="1">
      <alignment horizontal="right"/>
    </xf>
    <xf numFmtId="3" fontId="20" fillId="14" borderId="12" xfId="0" applyNumberFormat="1" applyFont="1" applyFill="1" applyBorder="1" applyAlignment="1">
      <alignment horizontal="right"/>
    </xf>
    <xf numFmtId="3" fontId="20" fillId="14" borderId="6" xfId="0" applyNumberFormat="1" applyFont="1" applyFill="1" applyBorder="1" applyAlignment="1">
      <alignment horizontal="right"/>
    </xf>
    <xf numFmtId="3" fontId="6" fillId="11" borderId="8" xfId="0" applyNumberFormat="1" applyFont="1" applyFill="1" applyBorder="1" applyAlignment="1">
      <alignment horizontal="right"/>
    </xf>
    <xf numFmtId="0" fontId="10" fillId="9" borderId="13" xfId="0" applyFont="1" applyFill="1" applyBorder="1"/>
    <xf numFmtId="0" fontId="5" fillId="9" borderId="8" xfId="0" applyFont="1" applyFill="1" applyBorder="1" applyAlignment="1">
      <alignment wrapText="1"/>
    </xf>
    <xf numFmtId="0" fontId="5" fillId="9" borderId="6" xfId="0" applyFont="1" applyFill="1" applyBorder="1"/>
    <xf numFmtId="0" fontId="5" fillId="9" borderId="6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wrapText="1"/>
    </xf>
    <xf numFmtId="0" fontId="6" fillId="9" borderId="6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/>
    <xf numFmtId="3" fontId="6" fillId="9" borderId="6" xfId="0" applyNumberFormat="1" applyFont="1" applyFill="1" applyBorder="1"/>
    <xf numFmtId="0" fontId="6" fillId="9" borderId="6" xfId="0" applyFont="1" applyFill="1" applyBorder="1"/>
    <xf numFmtId="0" fontId="5" fillId="9" borderId="8" xfId="0" applyFont="1" applyFill="1" applyBorder="1" applyAlignment="1">
      <alignment vertical="top" wrapText="1"/>
    </xf>
    <xf numFmtId="3" fontId="8" fillId="2" borderId="20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0" fontId="17" fillId="14" borderId="6" xfId="0" applyFont="1" applyFill="1" applyBorder="1" applyAlignment="1">
      <alignment horizontal="center"/>
    </xf>
    <xf numFmtId="0" fontId="17" fillId="14" borderId="6" xfId="0" applyFont="1" applyFill="1" applyBorder="1" applyAlignment="1">
      <alignment horizontal="left" wrapText="1"/>
    </xf>
    <xf numFmtId="3" fontId="17" fillId="14" borderId="6" xfId="0" applyNumberFormat="1" applyFont="1" applyFill="1" applyBorder="1" applyAlignment="1">
      <alignment horizontal="right"/>
    </xf>
    <xf numFmtId="3" fontId="8" fillId="14" borderId="15" xfId="0" applyNumberFormat="1" applyFont="1" applyFill="1" applyBorder="1" applyAlignment="1">
      <alignment horizontal="right"/>
    </xf>
    <xf numFmtId="3" fontId="8" fillId="14" borderId="6" xfId="0" applyNumberFormat="1" applyFont="1" applyFill="1" applyBorder="1" applyAlignment="1">
      <alignment horizontal="right"/>
    </xf>
    <xf numFmtId="3" fontId="17" fillId="14" borderId="23" xfId="0" applyNumberFormat="1" applyFont="1" applyFill="1" applyBorder="1" applyAlignment="1">
      <alignment horizontal="right"/>
    </xf>
    <xf numFmtId="3" fontId="17" fillId="14" borderId="9" xfId="0" applyNumberFormat="1" applyFont="1" applyFill="1" applyBorder="1" applyAlignment="1">
      <alignment horizontal="right"/>
    </xf>
    <xf numFmtId="3" fontId="17" fillId="14" borderId="15" xfId="0" applyNumberFormat="1" applyFont="1" applyFill="1" applyBorder="1" applyAlignment="1">
      <alignment horizontal="right"/>
    </xf>
    <xf numFmtId="3" fontId="5" fillId="14" borderId="24" xfId="0" applyNumberFormat="1" applyFont="1" applyFill="1" applyBorder="1" applyAlignment="1">
      <alignment horizontal="right"/>
    </xf>
    <xf numFmtId="3" fontId="5" fillId="14" borderId="9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5" fillId="6" borderId="6" xfId="0" applyFont="1" applyFill="1" applyBorder="1" applyAlignment="1">
      <alignment vertical="top" wrapText="1"/>
    </xf>
    <xf numFmtId="3" fontId="5" fillId="16" borderId="9" xfId="0" applyNumberFormat="1" applyFont="1" applyFill="1" applyBorder="1" applyAlignment="1">
      <alignment horizontal="right"/>
    </xf>
    <xf numFmtId="3" fontId="17" fillId="6" borderId="24" xfId="0" applyNumberFormat="1" applyFont="1" applyFill="1" applyBorder="1" applyAlignment="1" applyProtection="1">
      <alignment horizontal="right"/>
      <protection locked="0"/>
    </xf>
    <xf numFmtId="3" fontId="17" fillId="11" borderId="24" xfId="0" applyNumberFormat="1" applyFont="1" applyFill="1" applyBorder="1" applyAlignment="1">
      <alignment horizontal="right"/>
    </xf>
    <xf numFmtId="3" fontId="17" fillId="11" borderId="9" xfId="0" applyNumberFormat="1" applyFont="1" applyFill="1" applyBorder="1" applyAlignment="1">
      <alignment horizontal="right"/>
    </xf>
    <xf numFmtId="3" fontId="17" fillId="11" borderId="6" xfId="0" applyNumberFormat="1" applyFont="1" applyFill="1" applyBorder="1" applyAlignment="1">
      <alignment horizontal="right"/>
    </xf>
    <xf numFmtId="0" fontId="10" fillId="0" borderId="0" xfId="0" applyFont="1" applyAlignment="1">
      <alignment horizontal="justify"/>
    </xf>
    <xf numFmtId="49" fontId="5" fillId="14" borderId="15" xfId="0" applyNumberFormat="1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2" fontId="5" fillId="14" borderId="6" xfId="0" applyNumberFormat="1" applyFont="1" applyFill="1" applyBorder="1" applyAlignment="1">
      <alignment wrapText="1"/>
    </xf>
    <xf numFmtId="0" fontId="23" fillId="6" borderId="13" xfId="0" applyFont="1" applyFill="1" applyBorder="1" applyAlignment="1">
      <alignment vertical="center"/>
    </xf>
    <xf numFmtId="0" fontId="27" fillId="2" borderId="0" xfId="0" applyFont="1" applyFill="1" applyBorder="1" applyProtection="1">
      <protection locked="0"/>
    </xf>
    <xf numFmtId="0" fontId="27" fillId="2" borderId="0" xfId="0" applyFont="1" applyFill="1"/>
    <xf numFmtId="0" fontId="5" fillId="6" borderId="6" xfId="0" applyFont="1" applyFill="1" applyBorder="1" applyAlignment="1">
      <alignment horizontal="left" vertical="center" wrapText="1"/>
    </xf>
    <xf numFmtId="0" fontId="10" fillId="15" borderId="13" xfId="0" applyFont="1" applyFill="1" applyBorder="1"/>
    <xf numFmtId="0" fontId="10" fillId="15" borderId="2" xfId="0" applyFont="1" applyFill="1" applyBorder="1"/>
    <xf numFmtId="0" fontId="5" fillId="15" borderId="6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wrapText="1"/>
    </xf>
    <xf numFmtId="0" fontId="5" fillId="15" borderId="6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wrapText="1"/>
    </xf>
    <xf numFmtId="0" fontId="17" fillId="15" borderId="6" xfId="0" applyFont="1" applyFill="1" applyBorder="1" applyAlignment="1" applyProtection="1">
      <alignment horizontal="center"/>
      <protection locked="0"/>
    </xf>
    <xf numFmtId="0" fontId="17" fillId="15" borderId="6" xfId="0" applyFont="1" applyFill="1" applyBorder="1" applyAlignment="1" applyProtection="1">
      <alignment horizontal="left" wrapText="1"/>
      <protection locked="0"/>
    </xf>
    <xf numFmtId="3" fontId="17" fillId="15" borderId="6" xfId="0" applyNumberFormat="1" applyFont="1" applyFill="1" applyBorder="1" applyAlignment="1" applyProtection="1">
      <alignment horizontal="right"/>
      <protection locked="0"/>
    </xf>
    <xf numFmtId="3" fontId="8" fillId="15" borderId="15" xfId="0" applyNumberFormat="1" applyFont="1" applyFill="1" applyBorder="1" applyAlignment="1">
      <alignment horizontal="right"/>
    </xf>
    <xf numFmtId="3" fontId="8" fillId="15" borderId="6" xfId="0" applyNumberFormat="1" applyFont="1" applyFill="1" applyBorder="1" applyAlignment="1">
      <alignment horizontal="right"/>
    </xf>
    <xf numFmtId="3" fontId="17" fillId="15" borderId="24" xfId="0" applyNumberFormat="1" applyFont="1" applyFill="1" applyBorder="1" applyAlignment="1" applyProtection="1">
      <alignment horizontal="right"/>
      <protection locked="0"/>
    </xf>
    <xf numFmtId="0" fontId="17" fillId="15" borderId="9" xfId="0" applyFont="1" applyFill="1" applyBorder="1" applyAlignment="1" applyProtection="1">
      <alignment horizontal="left"/>
      <protection locked="0"/>
    </xf>
    <xf numFmtId="0" fontId="17" fillId="15" borderId="6" xfId="0" applyFont="1" applyFill="1" applyBorder="1" applyAlignment="1" applyProtection="1">
      <alignment horizontal="left"/>
      <protection locked="0"/>
    </xf>
    <xf numFmtId="3" fontId="5" fillId="10" borderId="6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vertical="top" wrapText="1"/>
    </xf>
    <xf numFmtId="0" fontId="5" fillId="10" borderId="6" xfId="0" applyFont="1" applyFill="1" applyBorder="1" applyAlignment="1">
      <alignment horizontal="center"/>
    </xf>
    <xf numFmtId="3" fontId="15" fillId="6" borderId="9" xfId="0" applyNumberFormat="1" applyFont="1" applyFill="1" applyBorder="1" applyAlignment="1">
      <alignment horizontal="right"/>
    </xf>
    <xf numFmtId="0" fontId="5" fillId="15" borderId="6" xfId="0" applyFont="1" applyFill="1" applyBorder="1" applyAlignment="1">
      <alignment horizontal="center" vertical="center" wrapText="1"/>
    </xf>
    <xf numFmtId="14" fontId="15" fillId="15" borderId="6" xfId="0" applyNumberFormat="1" applyFont="1" applyFill="1" applyBorder="1" applyAlignment="1">
      <alignment vertical="justify" wrapText="1"/>
    </xf>
    <xf numFmtId="0" fontId="17" fillId="14" borderId="6" xfId="0" applyFont="1" applyFill="1" applyBorder="1" applyAlignment="1">
      <alignment horizontal="left"/>
    </xf>
    <xf numFmtId="3" fontId="17" fillId="14" borderId="24" xfId="0" applyNumberFormat="1" applyFont="1" applyFill="1" applyBorder="1" applyAlignment="1">
      <alignment horizontal="right"/>
    </xf>
    <xf numFmtId="3" fontId="26" fillId="2" borderId="0" xfId="0" applyNumberFormat="1" applyFont="1" applyFill="1" applyAlignment="1" applyProtection="1">
      <alignment vertical="center"/>
      <protection locked="0"/>
    </xf>
    <xf numFmtId="40" fontId="30" fillId="0" borderId="27" xfId="3" applyNumberFormat="1" applyFont="1" applyBorder="1"/>
    <xf numFmtId="0" fontId="9" fillId="0" borderId="0" xfId="0" applyFont="1" applyProtection="1">
      <protection locked="0"/>
    </xf>
    <xf numFmtId="0" fontId="17" fillId="2" borderId="6" xfId="0" applyFont="1" applyFill="1" applyBorder="1" applyAlignment="1" applyProtection="1">
      <alignment horizontal="left" vertical="top" wrapText="1"/>
      <protection locked="0"/>
    </xf>
    <xf numFmtId="0" fontId="6" fillId="5" borderId="6" xfId="0" applyFont="1" applyFill="1" applyBorder="1" applyAlignment="1">
      <alignment vertical="top" wrapText="1"/>
    </xf>
    <xf numFmtId="3" fontId="6" fillId="6" borderId="1" xfId="0" applyNumberFormat="1" applyFont="1" applyFill="1" applyBorder="1" applyAlignment="1">
      <alignment horizontal="right"/>
    </xf>
    <xf numFmtId="3" fontId="6" fillId="6" borderId="12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5" fillId="6" borderId="6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wrapText="1"/>
    </xf>
    <xf numFmtId="0" fontId="5" fillId="9" borderId="6" xfId="0" applyFont="1" applyFill="1" applyBorder="1" applyAlignment="1">
      <alignment vertical="top" wrapText="1"/>
    </xf>
    <xf numFmtId="0" fontId="6" fillId="6" borderId="1" xfId="0" applyFont="1" applyFill="1" applyBorder="1"/>
    <xf numFmtId="3" fontId="6" fillId="6" borderId="1" xfId="0" applyNumberFormat="1" applyFont="1" applyFill="1" applyBorder="1"/>
    <xf numFmtId="0" fontId="22" fillId="2" borderId="6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wrapText="1"/>
    </xf>
    <xf numFmtId="0" fontId="5" fillId="2" borderId="6" xfId="0" applyFont="1" applyFill="1" applyBorder="1" applyAlignment="1">
      <alignment vertical="top" wrapText="1"/>
    </xf>
    <xf numFmtId="3" fontId="5" fillId="6" borderId="11" xfId="0" applyNumberFormat="1" applyFont="1" applyFill="1" applyBorder="1" applyAlignment="1">
      <alignment horizontal="right"/>
    </xf>
    <xf numFmtId="0" fontId="5" fillId="14" borderId="16" xfId="0" applyNumberFormat="1" applyFont="1" applyFill="1" applyBorder="1" applyAlignment="1">
      <alignment horizontal="center"/>
    </xf>
    <xf numFmtId="3" fontId="5" fillId="14" borderId="6" xfId="0" applyNumberFormat="1" applyFont="1" applyFill="1" applyBorder="1" applyAlignment="1">
      <alignment wrapText="1"/>
    </xf>
    <xf numFmtId="3" fontId="17" fillId="7" borderId="9" xfId="0" applyNumberFormat="1" applyFont="1" applyFill="1" applyBorder="1" applyAlignment="1" applyProtection="1">
      <alignment horizontal="right"/>
      <protection locked="0"/>
    </xf>
    <xf numFmtId="3" fontId="31" fillId="2" borderId="0" xfId="0" applyNumberFormat="1" applyFont="1" applyFill="1" applyAlignment="1" applyProtection="1">
      <alignment horizontal="right"/>
      <protection locked="0"/>
    </xf>
    <xf numFmtId="3" fontId="31" fillId="2" borderId="0" xfId="0" applyNumberFormat="1" applyFont="1" applyFill="1" applyProtection="1"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16" fillId="6" borderId="6" xfId="0" applyNumberFormat="1" applyFont="1" applyFill="1" applyBorder="1"/>
    <xf numFmtId="3" fontId="5" fillId="6" borderId="3" xfId="0" applyNumberFormat="1" applyFont="1" applyFill="1" applyBorder="1" applyAlignment="1">
      <alignment horizontal="right"/>
    </xf>
    <xf numFmtId="3" fontId="5" fillId="6" borderId="13" xfId="0" applyNumberFormat="1" applyFont="1" applyFill="1" applyBorder="1" applyAlignment="1">
      <alignment horizontal="right"/>
    </xf>
    <xf numFmtId="3" fontId="5" fillId="6" borderId="9" xfId="0" applyNumberFormat="1" applyFont="1" applyFill="1" applyBorder="1"/>
    <xf numFmtId="3" fontId="5" fillId="6" borderId="24" xfId="0" applyNumberFormat="1" applyFont="1" applyFill="1" applyBorder="1" applyAlignment="1">
      <alignment horizontal="right"/>
    </xf>
    <xf numFmtId="3" fontId="17" fillId="6" borderId="6" xfId="0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Protection="1">
      <protection locked="0"/>
    </xf>
    <xf numFmtId="3" fontId="26" fillId="2" borderId="0" xfId="0" applyNumberFormat="1" applyFont="1" applyFill="1"/>
    <xf numFmtId="3" fontId="32" fillId="2" borderId="0" xfId="0" applyNumberFormat="1" applyFont="1" applyFill="1"/>
    <xf numFmtId="3" fontId="15" fillId="6" borderId="9" xfId="0" applyNumberFormat="1" applyFont="1" applyFill="1" applyBorder="1"/>
    <xf numFmtId="3" fontId="16" fillId="6" borderId="9" xfId="0" applyNumberFormat="1" applyFont="1" applyFill="1" applyBorder="1"/>
    <xf numFmtId="3" fontId="5" fillId="11" borderId="6" xfId="0" applyNumberFormat="1" applyFont="1" applyFill="1" applyBorder="1" applyAlignment="1">
      <alignment horizontal="right"/>
    </xf>
    <xf numFmtId="3" fontId="6" fillId="6" borderId="8" xfId="0" applyNumberFormat="1" applyFont="1" applyFill="1" applyBorder="1" applyAlignment="1">
      <alignment horizontal="right"/>
    </xf>
    <xf numFmtId="3" fontId="16" fillId="6" borderId="6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wrapText="1"/>
    </xf>
    <xf numFmtId="3" fontId="6" fillId="6" borderId="7" xfId="0" applyNumberFormat="1" applyFont="1" applyFill="1" applyBorder="1"/>
    <xf numFmtId="3" fontId="5" fillId="6" borderId="7" xfId="0" applyNumberFormat="1" applyFont="1" applyFill="1" applyBorder="1"/>
    <xf numFmtId="3" fontId="5" fillId="6" borderId="1" xfId="0" applyNumberFormat="1" applyFont="1" applyFill="1" applyBorder="1" applyAlignment="1">
      <alignment horizontal="right"/>
    </xf>
    <xf numFmtId="0" fontId="6" fillId="11" borderId="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right"/>
    </xf>
    <xf numFmtId="0" fontId="10" fillId="6" borderId="13" xfId="0" applyFont="1" applyFill="1" applyBorder="1" applyAlignment="1"/>
    <xf numFmtId="0" fontId="15" fillId="14" borderId="6" xfId="0" applyFont="1" applyFill="1" applyBorder="1" applyAlignment="1">
      <alignment vertical="top" wrapText="1"/>
    </xf>
    <xf numFmtId="3" fontId="8" fillId="10" borderId="6" xfId="0" applyNumberFormat="1" applyFont="1" applyFill="1" applyBorder="1" applyAlignment="1">
      <alignment horizontal="right"/>
    </xf>
    <xf numFmtId="0" fontId="15" fillId="17" borderId="6" xfId="0" applyFont="1" applyFill="1" applyBorder="1" applyAlignment="1">
      <alignment wrapText="1"/>
    </xf>
    <xf numFmtId="3" fontId="5" fillId="17" borderId="9" xfId="0" applyNumberFormat="1" applyFont="1" applyFill="1" applyBorder="1" applyAlignment="1">
      <alignment horizontal="right"/>
    </xf>
    <xf numFmtId="3" fontId="5" fillId="17" borderId="12" xfId="0" applyNumberFormat="1" applyFont="1" applyFill="1" applyBorder="1" applyAlignment="1">
      <alignment horizontal="right"/>
    </xf>
    <xf numFmtId="3" fontId="15" fillId="17" borderId="12" xfId="0" applyNumberFormat="1" applyFont="1" applyFill="1" applyBorder="1" applyAlignment="1">
      <alignment horizontal="right"/>
    </xf>
    <xf numFmtId="3" fontId="5" fillId="17" borderId="6" xfId="0" applyNumberFormat="1" applyFont="1" applyFill="1" applyBorder="1" applyAlignment="1">
      <alignment horizontal="right"/>
    </xf>
    <xf numFmtId="14" fontId="15" fillId="17" borderId="6" xfId="0" applyNumberFormat="1" applyFont="1" applyFill="1" applyBorder="1" applyAlignment="1">
      <alignment vertical="justify" wrapText="1"/>
    </xf>
    <xf numFmtId="3" fontId="5" fillId="17" borderId="8" xfId="0" applyNumberFormat="1" applyFont="1" applyFill="1" applyBorder="1" applyAlignment="1">
      <alignment horizontal="right"/>
    </xf>
    <xf numFmtId="14" fontId="15" fillId="17" borderId="6" xfId="0" applyNumberFormat="1" applyFont="1" applyFill="1" applyBorder="1" applyAlignment="1">
      <alignment vertical="top" wrapText="1"/>
    </xf>
    <xf numFmtId="3" fontId="15" fillId="10" borderId="6" xfId="0" applyNumberFormat="1" applyFont="1" applyFill="1" applyBorder="1" applyAlignment="1">
      <alignment horizontal="right"/>
    </xf>
    <xf numFmtId="14" fontId="15" fillId="6" borderId="6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top" wrapText="1"/>
    </xf>
    <xf numFmtId="0" fontId="15" fillId="16" borderId="6" xfId="0" applyFont="1" applyFill="1" applyBorder="1" applyAlignment="1">
      <alignment vertical="justify" wrapText="1"/>
    </xf>
    <xf numFmtId="3" fontId="17" fillId="16" borderId="23" xfId="0" applyNumberFormat="1" applyFont="1" applyFill="1" applyBorder="1" applyAlignment="1">
      <alignment horizontal="right"/>
    </xf>
    <xf numFmtId="0" fontId="12" fillId="6" borderId="2" xfId="0" applyFont="1" applyFill="1" applyBorder="1"/>
    <xf numFmtId="3" fontId="6" fillId="2" borderId="12" xfId="0" applyNumberFormat="1" applyFont="1" applyFill="1" applyBorder="1"/>
    <xf numFmtId="3" fontId="6" fillId="6" borderId="12" xfId="0" applyNumberFormat="1" applyFont="1" applyFill="1" applyBorder="1"/>
    <xf numFmtId="3" fontId="5" fillId="2" borderId="8" xfId="0" applyNumberFormat="1" applyFont="1" applyFill="1" applyBorder="1"/>
    <xf numFmtId="3" fontId="5" fillId="6" borderId="8" xfId="0" applyNumberFormat="1" applyFont="1" applyFill="1" applyBorder="1"/>
    <xf numFmtId="3" fontId="6" fillId="2" borderId="8" xfId="0" applyNumberFormat="1" applyFont="1" applyFill="1" applyBorder="1"/>
    <xf numFmtId="3" fontId="6" fillId="6" borderId="8" xfId="0" applyNumberFormat="1" applyFont="1" applyFill="1" applyBorder="1"/>
    <xf numFmtId="3" fontId="5" fillId="2" borderId="12" xfId="0" applyNumberFormat="1" applyFont="1" applyFill="1" applyBorder="1"/>
    <xf numFmtId="0" fontId="5" fillId="14" borderId="6" xfId="0" applyFont="1" applyFill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3" fontId="31" fillId="2" borderId="0" xfId="0" applyNumberFormat="1" applyFont="1" applyFill="1" applyBorder="1" applyAlignment="1">
      <alignment horizontal="right"/>
    </xf>
    <xf numFmtId="3" fontId="17" fillId="2" borderId="28" xfId="0" applyNumberFormat="1" applyFont="1" applyFill="1" applyBorder="1"/>
    <xf numFmtId="0" fontId="5" fillId="0" borderId="3" xfId="0" applyFont="1" applyBorder="1" applyAlignment="1">
      <alignment horizontal="right"/>
    </xf>
    <xf numFmtId="3" fontId="31" fillId="2" borderId="16" xfId="0" applyNumberFormat="1" applyFont="1" applyFill="1" applyBorder="1" applyAlignment="1">
      <alignment horizontal="right"/>
    </xf>
    <xf numFmtId="3" fontId="31" fillId="2" borderId="6" xfId="0" applyNumberFormat="1" applyFont="1" applyFill="1" applyBorder="1" applyAlignment="1">
      <alignment horizontal="right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top" wrapText="1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3" fontId="33" fillId="2" borderId="0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center" vertical="center" wrapText="1"/>
    </xf>
    <xf numFmtId="14" fontId="15" fillId="6" borderId="8" xfId="0" applyNumberFormat="1" applyFont="1" applyFill="1" applyBorder="1" applyAlignment="1">
      <alignment vertical="justify" wrapText="1"/>
    </xf>
    <xf numFmtId="0" fontId="5" fillId="6" borderId="7" xfId="0" applyFont="1" applyFill="1" applyBorder="1" applyAlignment="1">
      <alignment vertical="justify" wrapText="1"/>
    </xf>
    <xf numFmtId="0" fontId="20" fillId="6" borderId="6" xfId="0" applyFont="1" applyFill="1" applyBorder="1" applyAlignment="1">
      <alignment horizontal="left" wrapText="1"/>
    </xf>
    <xf numFmtId="0" fontId="6" fillId="13" borderId="6" xfId="0" applyFont="1" applyFill="1" applyBorder="1" applyAlignment="1">
      <alignment horizontal="center"/>
    </xf>
    <xf numFmtId="0" fontId="6" fillId="13" borderId="6" xfId="0" applyFont="1" applyFill="1" applyBorder="1"/>
    <xf numFmtId="3" fontId="6" fillId="13" borderId="6" xfId="0" applyNumberFormat="1" applyFont="1" applyFill="1" applyBorder="1" applyAlignment="1">
      <alignment horizontal="right"/>
    </xf>
    <xf numFmtId="0" fontId="6" fillId="13" borderId="6" xfId="0" applyFont="1" applyFill="1" applyBorder="1" applyAlignment="1">
      <alignment wrapText="1"/>
    </xf>
    <xf numFmtId="3" fontId="6" fillId="13" borderId="6" xfId="0" applyNumberFormat="1" applyFont="1" applyFill="1" applyBorder="1"/>
    <xf numFmtId="3" fontId="33" fillId="6" borderId="6" xfId="0" applyNumberFormat="1" applyFont="1" applyFill="1" applyBorder="1" applyAlignment="1">
      <alignment horizontal="right"/>
    </xf>
    <xf numFmtId="16" fontId="15" fillId="6" borderId="6" xfId="0" applyNumberFormat="1" applyFont="1" applyFill="1" applyBorder="1" applyAlignment="1">
      <alignment vertical="top" wrapText="1"/>
    </xf>
    <xf numFmtId="0" fontId="6" fillId="6" borderId="6" xfId="0" applyFont="1" applyFill="1" applyBorder="1" applyAlignment="1">
      <alignment horizontal="left" wrapText="1"/>
    </xf>
    <xf numFmtId="2" fontId="6" fillId="6" borderId="11" xfId="0" applyNumberFormat="1" applyFont="1" applyFill="1" applyBorder="1"/>
    <xf numFmtId="2" fontId="6" fillId="6" borderId="11" xfId="0" applyNumberFormat="1" applyFont="1" applyFill="1" applyBorder="1" applyAlignment="1">
      <alignment horizontal="center"/>
    </xf>
    <xf numFmtId="2" fontId="6" fillId="6" borderId="16" xfId="0" applyNumberFormat="1" applyFont="1" applyFill="1" applyBorder="1"/>
    <xf numFmtId="0" fontId="6" fillId="5" borderId="8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 wrapText="1"/>
    </xf>
    <xf numFmtId="0" fontId="29" fillId="0" borderId="0" xfId="0" applyFont="1" applyAlignment="1">
      <alignment vertical="justify" wrapText="1"/>
    </xf>
    <xf numFmtId="0" fontId="6" fillId="0" borderId="0" xfId="0" applyFont="1" applyAlignment="1"/>
    <xf numFmtId="0" fontId="17" fillId="16" borderId="6" xfId="0" applyFont="1" applyFill="1" applyBorder="1" applyAlignment="1">
      <alignment horizontal="left" vertical="top" wrapText="1"/>
    </xf>
    <xf numFmtId="3" fontId="17" fillId="10" borderId="15" xfId="0" applyNumberFormat="1" applyFont="1" applyFill="1" applyBorder="1" applyAlignment="1">
      <alignment horizontal="right"/>
    </xf>
    <xf numFmtId="3" fontId="17" fillId="10" borderId="6" xfId="0" applyNumberFormat="1" applyFont="1" applyFill="1" applyBorder="1" applyAlignment="1">
      <alignment horizontal="right"/>
    </xf>
    <xf numFmtId="3" fontId="5" fillId="10" borderId="6" xfId="0" applyNumberFormat="1" applyFont="1" applyFill="1" applyBorder="1"/>
    <xf numFmtId="3" fontId="17" fillId="2" borderId="6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6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/>
    </xf>
    <xf numFmtId="0" fontId="6" fillId="0" borderId="0" xfId="0" applyFont="1" applyBorder="1" applyAlignment="1"/>
    <xf numFmtId="0" fontId="6" fillId="6" borderId="6" xfId="0" applyFont="1" applyFill="1" applyBorder="1" applyAlignment="1">
      <alignment horizontal="left"/>
    </xf>
    <xf numFmtId="0" fontId="6" fillId="13" borderId="6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/>
    <xf numFmtId="3" fontId="0" fillId="0" borderId="0" xfId="0" applyNumberFormat="1" applyAlignment="1" applyProtection="1">
      <alignment horizontal="left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left" wrapText="1"/>
    </xf>
    <xf numFmtId="3" fontId="5" fillId="10" borderId="15" xfId="0" applyNumberFormat="1" applyFont="1" applyFill="1" applyBorder="1" applyAlignment="1">
      <alignment horizontal="right"/>
    </xf>
    <xf numFmtId="0" fontId="5" fillId="15" borderId="8" xfId="0" applyFont="1" applyFill="1" applyBorder="1" applyAlignment="1">
      <alignment vertical="top" wrapText="1"/>
    </xf>
    <xf numFmtId="0" fontId="18" fillId="2" borderId="6" xfId="0" applyFont="1" applyFill="1" applyBorder="1" applyAlignment="1">
      <alignment wrapText="1"/>
    </xf>
    <xf numFmtId="3" fontId="17" fillId="10" borderId="9" xfId="0" applyNumberFormat="1" applyFont="1" applyFill="1" applyBorder="1" applyAlignment="1">
      <alignment horizontal="right"/>
    </xf>
    <xf numFmtId="0" fontId="6" fillId="6" borderId="6" xfId="0" applyFont="1" applyFill="1" applyBorder="1" applyAlignment="1">
      <alignment horizontal="center"/>
    </xf>
    <xf numFmtId="3" fontId="6" fillId="6" borderId="9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wrapText="1"/>
    </xf>
    <xf numFmtId="0" fontId="17" fillId="10" borderId="6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left"/>
    </xf>
    <xf numFmtId="3" fontId="17" fillId="10" borderId="24" xfId="0" applyNumberFormat="1" applyFont="1" applyFill="1" applyBorder="1" applyAlignment="1">
      <alignment horizontal="right"/>
    </xf>
    <xf numFmtId="3" fontId="5" fillId="18" borderId="8" xfId="0" applyNumberFormat="1" applyFont="1" applyFill="1" applyBorder="1" applyAlignment="1">
      <alignment horizontal="right"/>
    </xf>
    <xf numFmtId="3" fontId="5" fillId="18" borderId="6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vertical="top"/>
    </xf>
    <xf numFmtId="0" fontId="15" fillId="17" borderId="6" xfId="0" applyFont="1" applyFill="1" applyBorder="1" applyAlignment="1">
      <alignment vertical="justify"/>
    </xf>
    <xf numFmtId="0" fontId="5" fillId="17" borderId="6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top"/>
    </xf>
    <xf numFmtId="0" fontId="15" fillId="17" borderId="6" xfId="0" applyFont="1" applyFill="1" applyBorder="1" applyAlignment="1">
      <alignment vertical="justify" wrapText="1"/>
    </xf>
    <xf numFmtId="0" fontId="5" fillId="17" borderId="6" xfId="0" applyFont="1" applyFill="1" applyBorder="1" applyAlignment="1">
      <alignment horizontal="left" vertical="top" wrapText="1"/>
    </xf>
    <xf numFmtId="0" fontId="5" fillId="17" borderId="6" xfId="0" applyFont="1" applyFill="1" applyBorder="1" applyAlignment="1">
      <alignment horizontal="center" vertical="center" wrapText="1"/>
    </xf>
    <xf numFmtId="3" fontId="5" fillId="16" borderId="8" xfId="0" applyNumberFormat="1" applyFont="1" applyFill="1" applyBorder="1" applyAlignment="1">
      <alignment horizontal="right"/>
    </xf>
    <xf numFmtId="0" fontId="14" fillId="5" borderId="3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left" vertical="top" wrapText="1"/>
    </xf>
    <xf numFmtId="3" fontId="26" fillId="6" borderId="0" xfId="0" applyNumberFormat="1" applyFont="1" applyFill="1" applyAlignment="1">
      <alignment horizontal="right"/>
    </xf>
    <xf numFmtId="0" fontId="9" fillId="0" borderId="0" xfId="0" applyFont="1"/>
    <xf numFmtId="0" fontId="35" fillId="0" borderId="6" xfId="2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Continuous" vertical="center" wrapText="1"/>
    </xf>
    <xf numFmtId="0" fontId="37" fillId="0" borderId="6" xfId="2" applyFont="1" applyBorder="1" applyAlignment="1">
      <alignment horizontal="center" vertical="center" wrapText="1"/>
    </xf>
    <xf numFmtId="0" fontId="38" fillId="0" borderId="6" xfId="2" applyFont="1" applyFill="1" applyBorder="1" applyAlignment="1">
      <alignment horizontal="center" vertical="center"/>
    </xf>
    <xf numFmtId="0" fontId="39" fillId="0" borderId="8" xfId="2" applyFont="1" applyBorder="1" applyAlignment="1">
      <alignment horizontal="centerContinuous" vertical="center" wrapText="1"/>
    </xf>
    <xf numFmtId="0" fontId="39" fillId="0" borderId="7" xfId="2" applyFont="1" applyFill="1" applyBorder="1" applyAlignment="1">
      <alignment horizontal="center" vertical="center" wrapText="1"/>
    </xf>
    <xf numFmtId="0" fontId="39" fillId="11" borderId="6" xfId="2" applyFont="1" applyFill="1" applyBorder="1" applyAlignment="1">
      <alignment horizontal="left" vertical="center" wrapText="1"/>
    </xf>
    <xf numFmtId="3" fontId="39" fillId="11" borderId="6" xfId="2" applyNumberFormat="1" applyFont="1" applyFill="1" applyBorder="1" applyAlignment="1">
      <alignment horizontal="right"/>
    </xf>
    <xf numFmtId="49" fontId="39" fillId="11" borderId="6" xfId="2" applyNumberFormat="1" applyFont="1" applyFill="1" applyBorder="1" applyAlignment="1">
      <alignment horizontal="center" vertical="center" wrapText="1"/>
    </xf>
    <xf numFmtId="164" fontId="39" fillId="11" borderId="6" xfId="2" applyNumberFormat="1" applyFont="1" applyFill="1" applyBorder="1" applyAlignment="1">
      <alignment horizontal="left" vertical="center" wrapText="1"/>
    </xf>
    <xf numFmtId="3" fontId="39" fillId="11" borderId="6" xfId="2" applyNumberFormat="1" applyFont="1" applyFill="1" applyBorder="1" applyAlignment="1">
      <alignment horizontal="right" vertical="center"/>
    </xf>
    <xf numFmtId="49" fontId="38" fillId="0" borderId="6" xfId="2" applyNumberFormat="1" applyFont="1" applyFill="1" applyBorder="1" applyAlignment="1">
      <alignment horizontal="center" vertical="center" wrapText="1"/>
    </xf>
    <xf numFmtId="164" fontId="38" fillId="0" borderId="6" xfId="2" applyNumberFormat="1" applyFont="1" applyFill="1" applyBorder="1" applyAlignment="1">
      <alignment horizontal="left" vertical="center" wrapText="1"/>
    </xf>
    <xf numFmtId="3" fontId="38" fillId="0" borderId="6" xfId="2" applyNumberFormat="1" applyFont="1" applyFill="1" applyBorder="1" applyAlignment="1" applyProtection="1">
      <alignment horizontal="right" vertical="center"/>
      <protection locked="0"/>
    </xf>
    <xf numFmtId="3" fontId="37" fillId="11" borderId="6" xfId="2" applyNumberFormat="1" applyFont="1" applyFill="1" applyBorder="1" applyAlignment="1">
      <alignment horizontal="right" vertical="center"/>
    </xf>
    <xf numFmtId="49" fontId="38" fillId="10" borderId="6" xfId="2" applyNumberFormat="1" applyFont="1" applyFill="1" applyBorder="1" applyAlignment="1">
      <alignment horizontal="center" vertical="center" wrapText="1"/>
    </xf>
    <xf numFmtId="164" fontId="38" fillId="10" borderId="6" xfId="2" applyNumberFormat="1" applyFont="1" applyFill="1" applyBorder="1" applyAlignment="1">
      <alignment horizontal="left" vertical="center" wrapText="1"/>
    </xf>
    <xf numFmtId="3" fontId="38" fillId="10" borderId="6" xfId="2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/>
    <xf numFmtId="0" fontId="5" fillId="2" borderId="7" xfId="0" applyFont="1" applyFill="1" applyBorder="1" applyAlignment="1">
      <alignment horizontal="center" wrapText="1"/>
    </xf>
    <xf numFmtId="0" fontId="5" fillId="10" borderId="6" xfId="0" applyFont="1" applyFill="1" applyBorder="1" applyAlignment="1">
      <alignment wrapText="1"/>
    </xf>
    <xf numFmtId="3" fontId="5" fillId="6" borderId="0" xfId="0" applyNumberFormat="1" applyFont="1" applyFill="1" applyAlignment="1">
      <alignment horizontal="right"/>
    </xf>
    <xf numFmtId="14" fontId="15" fillId="10" borderId="6" xfId="0" applyNumberFormat="1" applyFont="1" applyFill="1" applyBorder="1" applyAlignment="1">
      <alignment vertical="center" wrapText="1"/>
    </xf>
    <xf numFmtId="0" fontId="0" fillId="0" borderId="6" xfId="0" applyBorder="1"/>
    <xf numFmtId="3" fontId="6" fillId="6" borderId="6" xfId="0" applyNumberFormat="1" applyFont="1" applyFill="1" applyBorder="1"/>
    <xf numFmtId="0" fontId="40" fillId="0" borderId="0" xfId="0" applyFont="1"/>
    <xf numFmtId="0" fontId="11" fillId="6" borderId="2" xfId="0" applyFont="1" applyFill="1" applyBorder="1"/>
    <xf numFmtId="0" fontId="41" fillId="0" borderId="0" xfId="0" applyFont="1"/>
    <xf numFmtId="0" fontId="11" fillId="6" borderId="13" xfId="0" applyFont="1" applyFill="1" applyBorder="1"/>
    <xf numFmtId="0" fontId="10" fillId="6" borderId="2" xfId="0" applyFont="1" applyFill="1" applyBorder="1" applyAlignment="1"/>
    <xf numFmtId="3" fontId="6" fillId="6" borderId="9" xfId="0" applyNumberFormat="1" applyFont="1" applyFill="1" applyBorder="1" applyAlignment="1"/>
    <xf numFmtId="0" fontId="40" fillId="0" borderId="0" xfId="0" applyFont="1" applyAlignment="1"/>
    <xf numFmtId="0" fontId="0" fillId="0" borderId="0" xfId="0" applyAlignment="1"/>
    <xf numFmtId="0" fontId="15" fillId="2" borderId="6" xfId="0" applyFont="1" applyFill="1" applyBorder="1" applyAlignment="1">
      <alignment vertical="top" wrapText="1"/>
    </xf>
    <xf numFmtId="0" fontId="42" fillId="2" borderId="0" xfId="0" applyFont="1" applyFill="1"/>
    <xf numFmtId="3" fontId="42" fillId="2" borderId="6" xfId="0" applyNumberFormat="1" applyFont="1" applyFill="1" applyBorder="1" applyAlignment="1">
      <alignment horizontal="right"/>
    </xf>
    <xf numFmtId="3" fontId="43" fillId="5" borderId="6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0" fontId="45" fillId="0" borderId="0" xfId="0" applyFont="1"/>
    <xf numFmtId="3" fontId="46" fillId="2" borderId="0" xfId="0" applyNumberFormat="1" applyFont="1" applyFill="1" applyAlignment="1">
      <alignment horizontal="center"/>
    </xf>
    <xf numFmtId="0" fontId="43" fillId="0" borderId="0" xfId="0" applyFont="1"/>
    <xf numFmtId="0" fontId="45" fillId="2" borderId="0" xfId="0" applyFont="1" applyFill="1" applyProtection="1">
      <protection locked="0"/>
    </xf>
    <xf numFmtId="0" fontId="42" fillId="2" borderId="0" xfId="0" applyFont="1" applyFill="1" applyProtection="1">
      <protection locked="0"/>
    </xf>
    <xf numFmtId="0" fontId="43" fillId="2" borderId="6" xfId="0" applyFont="1" applyFill="1" applyBorder="1" applyAlignment="1">
      <alignment horizontal="center" vertical="center"/>
    </xf>
    <xf numFmtId="0" fontId="42" fillId="2" borderId="0" xfId="0" applyFont="1" applyFill="1" applyAlignment="1" applyProtection="1">
      <alignment vertical="center"/>
      <protection locked="0"/>
    </xf>
    <xf numFmtId="3" fontId="42" fillId="2" borderId="0" xfId="0" applyNumberFormat="1" applyFont="1" applyFill="1" applyProtection="1">
      <protection locked="0"/>
    </xf>
    <xf numFmtId="0" fontId="44" fillId="2" borderId="0" xfId="0" applyFont="1" applyFill="1" applyProtection="1">
      <protection locked="0"/>
    </xf>
    <xf numFmtId="0" fontId="42" fillId="12" borderId="0" xfId="0" applyFont="1" applyFill="1" applyProtection="1">
      <protection locked="0"/>
    </xf>
    <xf numFmtId="0" fontId="42" fillId="2" borderId="0" xfId="0" applyFont="1" applyFill="1" applyAlignment="1" applyProtection="1">
      <protection locked="0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6" fillId="0" borderId="30" xfId="0" applyNumberFormat="1" applyFont="1" applyBorder="1"/>
    <xf numFmtId="3" fontId="5" fillId="2" borderId="10" xfId="0" applyNumberFormat="1" applyFont="1" applyFill="1" applyBorder="1" applyAlignment="1">
      <alignment horizontal="right"/>
    </xf>
    <xf numFmtId="3" fontId="6" fillId="0" borderId="32" xfId="0" applyNumberFormat="1" applyFont="1" applyBorder="1"/>
    <xf numFmtId="3" fontId="6" fillId="0" borderId="0" xfId="0" applyNumberFormat="1" applyFont="1" applyAlignment="1">
      <alignment horizontal="center"/>
    </xf>
    <xf numFmtId="3" fontId="47" fillId="0" borderId="0" xfId="0" applyNumberFormat="1" applyFont="1"/>
    <xf numFmtId="3" fontId="5" fillId="6" borderId="10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3" fontId="5" fillId="6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3" fontId="6" fillId="0" borderId="0" xfId="0" applyNumberFormat="1" applyFont="1" applyAlignment="1"/>
    <xf numFmtId="3" fontId="6" fillId="0" borderId="31" xfId="0" applyNumberFormat="1" applyFont="1" applyBorder="1"/>
    <xf numFmtId="3" fontId="5" fillId="14" borderId="10" xfId="0" applyNumberFormat="1" applyFont="1" applyFill="1" applyBorder="1" applyAlignment="1">
      <alignment horizontal="right"/>
    </xf>
    <xf numFmtId="3" fontId="6" fillId="5" borderId="0" xfId="0" applyNumberFormat="1" applyFont="1" applyFill="1" applyBorder="1"/>
    <xf numFmtId="3" fontId="6" fillId="2" borderId="0" xfId="0" applyNumberFormat="1" applyFont="1" applyFill="1" applyBorder="1" applyAlignment="1"/>
    <xf numFmtId="3" fontId="6" fillId="2" borderId="11" xfId="0" applyNumberFormat="1" applyFont="1" applyFill="1" applyBorder="1" applyAlignment="1">
      <alignment horizontal="right"/>
    </xf>
    <xf numFmtId="3" fontId="6" fillId="9" borderId="6" xfId="0" applyNumberFormat="1" applyFont="1" applyFill="1" applyBorder="1" applyAlignment="1">
      <alignment horizontal="right"/>
    </xf>
    <xf numFmtId="3" fontId="6" fillId="9" borderId="8" xfId="0" applyNumberFormat="1" applyFont="1" applyFill="1" applyBorder="1" applyAlignment="1">
      <alignment horizontal="right"/>
    </xf>
    <xf numFmtId="3" fontId="6" fillId="15" borderId="8" xfId="0" applyNumberFormat="1" applyFont="1" applyFill="1" applyBorder="1" applyAlignment="1">
      <alignment horizontal="right"/>
    </xf>
    <xf numFmtId="3" fontId="6" fillId="15" borderId="6" xfId="0" applyNumberFormat="1" applyFont="1" applyFill="1" applyBorder="1"/>
    <xf numFmtId="3" fontId="6" fillId="15" borderId="6" xfId="0" applyNumberFormat="1" applyFont="1" applyFill="1" applyBorder="1" applyAlignment="1">
      <alignment horizontal="right"/>
    </xf>
    <xf numFmtId="3" fontId="6" fillId="6" borderId="7" xfId="0" applyNumberFormat="1" applyFont="1" applyFill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3" fontId="16" fillId="2" borderId="12" xfId="0" applyNumberFormat="1" applyFont="1" applyFill="1" applyBorder="1" applyAlignment="1">
      <alignment horizontal="right"/>
    </xf>
    <xf numFmtId="3" fontId="6" fillId="10" borderId="12" xfId="0" applyNumberFormat="1" applyFont="1" applyFill="1" applyBorder="1" applyAlignment="1">
      <alignment horizontal="right"/>
    </xf>
    <xf numFmtId="3" fontId="16" fillId="2" borderId="33" xfId="0" applyNumberFormat="1" applyFont="1" applyFill="1" applyBorder="1" applyAlignment="1">
      <alignment horizontal="right"/>
    </xf>
    <xf numFmtId="3" fontId="6" fillId="5" borderId="2" xfId="0" applyNumberFormat="1" applyFont="1" applyFill="1" applyBorder="1"/>
    <xf numFmtId="0" fontId="9" fillId="2" borderId="0" xfId="0" applyFont="1" applyFill="1"/>
    <xf numFmtId="3" fontId="6" fillId="2" borderId="2" xfId="0" applyNumberFormat="1" applyFont="1" applyFill="1" applyBorder="1"/>
    <xf numFmtId="3" fontId="47" fillId="2" borderId="2" xfId="0" applyNumberFormat="1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5" borderId="10" xfId="0" applyNumberFormat="1" applyFont="1" applyFill="1" applyBorder="1" applyAlignment="1">
      <alignment horizontal="right"/>
    </xf>
    <xf numFmtId="3" fontId="6" fillId="2" borderId="0" xfId="0" applyNumberFormat="1" applyFont="1" applyFill="1"/>
    <xf numFmtId="0" fontId="48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 wrapText="1"/>
    </xf>
    <xf numFmtId="3" fontId="49" fillId="2" borderId="0" xfId="0" applyNumberFormat="1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48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48" fillId="2" borderId="0" xfId="0" applyFont="1" applyFill="1"/>
    <xf numFmtId="0" fontId="40" fillId="0" borderId="0" xfId="0" applyFont="1" applyAlignment="1">
      <alignment horizontal="center"/>
    </xf>
    <xf numFmtId="3" fontId="40" fillId="0" borderId="29" xfId="0" applyNumberFormat="1" applyFont="1" applyBorder="1"/>
    <xf numFmtId="0" fontId="50" fillId="0" borderId="0" xfId="0" applyFont="1" applyAlignment="1">
      <alignment horizontal="center"/>
    </xf>
    <xf numFmtId="3" fontId="51" fillId="0" borderId="0" xfId="0" applyNumberFormat="1" applyFont="1"/>
    <xf numFmtId="3" fontId="40" fillId="10" borderId="2" xfId="0" applyNumberFormat="1" applyFont="1" applyFill="1" applyBorder="1"/>
    <xf numFmtId="3" fontId="40" fillId="0" borderId="0" xfId="0" applyNumberFormat="1" applyFont="1"/>
    <xf numFmtId="0" fontId="6" fillId="0" borderId="0" xfId="0" applyFont="1"/>
    <xf numFmtId="0" fontId="49" fillId="6" borderId="0" xfId="0" applyFont="1" applyFill="1" applyAlignment="1">
      <alignment horizontal="center"/>
    </xf>
    <xf numFmtId="0" fontId="49" fillId="2" borderId="0" xfId="0" applyFont="1" applyFill="1" applyAlignment="1">
      <alignment horizontal="right"/>
    </xf>
    <xf numFmtId="0" fontId="4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48" fillId="6" borderId="0" xfId="0" applyFont="1" applyFill="1"/>
    <xf numFmtId="0" fontId="49" fillId="2" borderId="0" xfId="0" applyFont="1" applyFill="1"/>
    <xf numFmtId="0" fontId="6" fillId="0" borderId="0" xfId="0" applyFont="1" applyAlignment="1">
      <alignment horizontal="center"/>
    </xf>
    <xf numFmtId="3" fontId="6" fillId="0" borderId="2" xfId="0" applyNumberFormat="1" applyFont="1" applyBorder="1"/>
    <xf numFmtId="3" fontId="40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10" borderId="6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6" borderId="10" xfId="0" applyNumberFormat="1" applyFont="1" applyFill="1" applyBorder="1"/>
    <xf numFmtId="0" fontId="8" fillId="5" borderId="6" xfId="0" applyFont="1" applyFill="1" applyBorder="1" applyAlignment="1">
      <alignment horizontal="left" wrapText="1"/>
    </xf>
    <xf numFmtId="3" fontId="5" fillId="19" borderId="0" xfId="0" applyNumberFormat="1" applyFont="1" applyFill="1" applyAlignment="1">
      <alignment horizontal="right"/>
    </xf>
    <xf numFmtId="3" fontId="6" fillId="19" borderId="6" xfId="0" applyNumberFormat="1" applyFont="1" applyFill="1" applyBorder="1" applyAlignment="1">
      <alignment horizontal="right"/>
    </xf>
    <xf numFmtId="3" fontId="22" fillId="6" borderId="0" xfId="0" applyNumberFormat="1" applyFont="1" applyFill="1" applyAlignment="1">
      <alignment horizontal="right"/>
    </xf>
    <xf numFmtId="3" fontId="16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3" fontId="53" fillId="2" borderId="0" xfId="0" applyNumberFormat="1" applyFont="1" applyFill="1" applyProtection="1"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14" fontId="15" fillId="6" borderId="9" xfId="0" applyNumberFormat="1" applyFont="1" applyFill="1" applyBorder="1" applyAlignment="1">
      <alignment vertical="justify" wrapText="1"/>
    </xf>
    <xf numFmtId="0" fontId="17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vertical="justify" wrapText="1"/>
    </xf>
    <xf numFmtId="0" fontId="17" fillId="2" borderId="14" xfId="0" applyFont="1" applyFill="1" applyBorder="1" applyAlignment="1">
      <alignment horizontal="left" vertical="top" wrapText="1"/>
    </xf>
    <xf numFmtId="0" fontId="15" fillId="6" borderId="9" xfId="0" applyFont="1" applyFill="1" applyBorder="1" applyAlignment="1">
      <alignment vertical="justify" wrapText="1"/>
    </xf>
    <xf numFmtId="49" fontId="8" fillId="5" borderId="23" xfId="0" applyNumberFormat="1" applyFont="1" applyFill="1" applyBorder="1" applyAlignment="1">
      <alignment horizontal="center" vertical="center" wrapText="1"/>
    </xf>
    <xf numFmtId="0" fontId="17" fillId="9" borderId="0" xfId="0" applyFont="1" applyFill="1" applyProtection="1">
      <protection locked="0"/>
    </xf>
    <xf numFmtId="0" fontId="17" fillId="9" borderId="6" xfId="0" applyFont="1" applyFill="1" applyBorder="1" applyProtection="1">
      <protection locked="0"/>
    </xf>
    <xf numFmtId="3" fontId="5" fillId="6" borderId="6" xfId="0" applyNumberFormat="1" applyFont="1" applyFill="1" applyBorder="1" applyProtection="1">
      <protection locked="0"/>
    </xf>
    <xf numFmtId="3" fontId="5" fillId="9" borderId="6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5" fillId="10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vertical="justify"/>
    </xf>
    <xf numFmtId="3" fontId="6" fillId="10" borderId="6" xfId="0" applyNumberFormat="1" applyFont="1" applyFill="1" applyBorder="1" applyAlignment="1">
      <alignment horizontal="right"/>
    </xf>
    <xf numFmtId="3" fontId="15" fillId="10" borderId="8" xfId="0" applyNumberFormat="1" applyFont="1" applyFill="1" applyBorder="1" applyAlignment="1">
      <alignment horizontal="right"/>
    </xf>
    <xf numFmtId="0" fontId="15" fillId="10" borderId="6" xfId="0" applyFont="1" applyFill="1" applyBorder="1" applyAlignment="1">
      <alignment horizontal="left" wrapText="1"/>
    </xf>
    <xf numFmtId="0" fontId="0" fillId="10" borderId="6" xfId="0" applyFill="1" applyBorder="1"/>
    <xf numFmtId="0" fontId="9" fillId="10" borderId="6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6" borderId="11" xfId="0" applyNumberFormat="1" applyFont="1" applyFill="1" applyBorder="1" applyAlignment="1">
      <alignment horizontal="right"/>
    </xf>
    <xf numFmtId="0" fontId="5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1" xfId="0" applyFont="1" applyFill="1" applyBorder="1"/>
    <xf numFmtId="0" fontId="5" fillId="10" borderId="7" xfId="0" applyFont="1" applyFill="1" applyBorder="1" applyAlignment="1">
      <alignment wrapText="1"/>
    </xf>
    <xf numFmtId="0" fontId="15" fillId="10" borderId="7" xfId="0" applyFont="1" applyFill="1" applyBorder="1"/>
    <xf numFmtId="3" fontId="6" fillId="10" borderId="33" xfId="0" applyNumberFormat="1" applyFont="1" applyFill="1" applyBorder="1" applyAlignment="1">
      <alignment horizontal="right"/>
    </xf>
    <xf numFmtId="3" fontId="5" fillId="10" borderId="10" xfId="0" applyNumberFormat="1" applyFont="1" applyFill="1" applyBorder="1" applyAlignment="1">
      <alignment horizontal="right"/>
    </xf>
    <xf numFmtId="3" fontId="5" fillId="10" borderId="9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5" fillId="2" borderId="0" xfId="0" applyNumberFormat="1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6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15" fillId="2" borderId="6" xfId="0" applyFont="1" applyFill="1" applyBorder="1"/>
    <xf numFmtId="0" fontId="15" fillId="2" borderId="6" xfId="0" applyFont="1" applyFill="1" applyBorder="1" applyAlignment="1">
      <alignment horizontal="center"/>
    </xf>
    <xf numFmtId="0" fontId="6" fillId="5" borderId="6" xfId="0" applyFont="1" applyFill="1" applyBorder="1"/>
    <xf numFmtId="3" fontId="6" fillId="5" borderId="6" xfId="0" applyNumberFormat="1" applyFont="1" applyFill="1" applyBorder="1"/>
    <xf numFmtId="3" fontId="5" fillId="6" borderId="6" xfId="0" applyNumberFormat="1" applyFont="1" applyFill="1" applyBorder="1" applyAlignment="1">
      <alignment horizontal="right"/>
    </xf>
    <xf numFmtId="3" fontId="6" fillId="5" borderId="9" xfId="0" applyNumberFormat="1" applyFont="1" applyFill="1" applyBorder="1"/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right"/>
    </xf>
    <xf numFmtId="0" fontId="5" fillId="6" borderId="6" xfId="0" applyFont="1" applyFill="1" applyBorder="1"/>
    <xf numFmtId="3" fontId="6" fillId="2" borderId="6" xfId="0" applyNumberFormat="1" applyFont="1" applyFill="1" applyBorder="1"/>
    <xf numFmtId="0" fontId="15" fillId="2" borderId="6" xfId="0" applyFont="1" applyFill="1" applyBorder="1" applyAlignment="1">
      <alignment horizontal="left" wrapText="1"/>
    </xf>
    <xf numFmtId="3" fontId="6" fillId="2" borderId="0" xfId="0" applyNumberFormat="1" applyFont="1" applyFill="1" applyBorder="1"/>
    <xf numFmtId="0" fontId="6" fillId="5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/>
    <xf numFmtId="3" fontId="6" fillId="5" borderId="9" xfId="0" applyNumberFormat="1" applyFont="1" applyFill="1" applyBorder="1" applyAlignment="1">
      <alignment horizontal="right"/>
    </xf>
    <xf numFmtId="3" fontId="15" fillId="2" borderId="6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wrapText="1"/>
    </xf>
    <xf numFmtId="3" fontId="15" fillId="2" borderId="6" xfId="0" applyNumberFormat="1" applyFont="1" applyFill="1" applyBorder="1"/>
    <xf numFmtId="0" fontId="6" fillId="5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wrapText="1"/>
    </xf>
    <xf numFmtId="3" fontId="5" fillId="5" borderId="6" xfId="0" applyNumberFormat="1" applyFont="1" applyFill="1" applyBorder="1" applyAlignment="1">
      <alignment horizontal="right"/>
    </xf>
    <xf numFmtId="3" fontId="6" fillId="6" borderId="0" xfId="0" applyNumberFormat="1" applyFont="1" applyFill="1" applyBorder="1" applyAlignment="1">
      <alignment horizontal="right"/>
    </xf>
    <xf numFmtId="0" fontId="5" fillId="6" borderId="6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wrapText="1"/>
    </xf>
    <xf numFmtId="3" fontId="5" fillId="6" borderId="12" xfId="0" applyNumberFormat="1" applyFont="1" applyFill="1" applyBorder="1" applyAlignment="1">
      <alignment horizontal="right"/>
    </xf>
    <xf numFmtId="3" fontId="6" fillId="6" borderId="6" xfId="0" applyNumberFormat="1" applyFont="1" applyFill="1" applyBorder="1" applyAlignment="1">
      <alignment horizontal="right"/>
    </xf>
    <xf numFmtId="3" fontId="5" fillId="10" borderId="8" xfId="0" applyNumberFormat="1" applyFont="1" applyFill="1" applyBorder="1" applyAlignment="1">
      <alignment horizontal="right"/>
    </xf>
    <xf numFmtId="3" fontId="6" fillId="11" borderId="6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3" fontId="6" fillId="11" borderId="9" xfId="0" applyNumberFormat="1" applyFont="1" applyFill="1" applyBorder="1" applyAlignment="1">
      <alignment horizontal="right"/>
    </xf>
    <xf numFmtId="0" fontId="15" fillId="6" borderId="6" xfId="0" applyFont="1" applyFill="1" applyBorder="1" applyAlignment="1">
      <alignment horizontal="left"/>
    </xf>
    <xf numFmtId="0" fontId="6" fillId="11" borderId="6" xfId="0" applyFont="1" applyFill="1" applyBorder="1" applyAlignment="1">
      <alignment wrapText="1"/>
    </xf>
    <xf numFmtId="0" fontId="5" fillId="6" borderId="6" xfId="0" applyFont="1" applyFill="1" applyBorder="1" applyAlignment="1">
      <alignment horizontal="left" vertical="center" wrapText="1"/>
    </xf>
    <xf numFmtId="3" fontId="5" fillId="10" borderId="6" xfId="0" applyNumberFormat="1" applyFont="1" applyFill="1" applyBorder="1" applyAlignment="1">
      <alignment horizontal="right"/>
    </xf>
    <xf numFmtId="3" fontId="5" fillId="11" borderId="6" xfId="0" applyNumberFormat="1" applyFont="1" applyFill="1" applyBorder="1" applyAlignment="1">
      <alignment horizontal="right"/>
    </xf>
    <xf numFmtId="3" fontId="15" fillId="10" borderId="6" xfId="0" applyNumberFormat="1" applyFont="1" applyFill="1" applyBorder="1" applyAlignment="1">
      <alignment horizontal="right"/>
    </xf>
    <xf numFmtId="3" fontId="5" fillId="19" borderId="6" xfId="0" applyNumberFormat="1" applyFont="1" applyFill="1" applyBorder="1" applyAlignment="1">
      <alignment horizontal="right"/>
    </xf>
    <xf numFmtId="3" fontId="5" fillId="19" borderId="8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10" borderId="6" xfId="0" applyFont="1" applyFill="1" applyBorder="1" applyAlignment="1">
      <alignment wrapText="1"/>
    </xf>
    <xf numFmtId="0" fontId="15" fillId="6" borderId="6" xfId="0" applyFont="1" applyFill="1" applyBorder="1" applyAlignment="1">
      <alignment vertical="center" wrapText="1"/>
    </xf>
    <xf numFmtId="3" fontId="5" fillId="10" borderId="4" xfId="0" applyNumberFormat="1" applyFont="1" applyFill="1" applyBorder="1" applyAlignment="1">
      <alignment horizontal="right"/>
    </xf>
    <xf numFmtId="0" fontId="15" fillId="10" borderId="6" xfId="0" applyFont="1" applyFill="1" applyBorder="1" applyAlignment="1">
      <alignment vertical="top" wrapText="1"/>
    </xf>
    <xf numFmtId="0" fontId="5" fillId="10" borderId="6" xfId="0" applyFont="1" applyFill="1" applyBorder="1" applyAlignment="1">
      <alignment vertical="center" wrapText="1"/>
    </xf>
    <xf numFmtId="3" fontId="6" fillId="10" borderId="8" xfId="0" applyNumberFormat="1" applyFont="1" applyFill="1" applyBorder="1" applyAlignment="1">
      <alignment horizontal="right"/>
    </xf>
    <xf numFmtId="3" fontId="15" fillId="10" borderId="9" xfId="0" applyNumberFormat="1" applyFont="1" applyFill="1" applyBorder="1" applyAlignment="1">
      <alignment horizontal="right"/>
    </xf>
    <xf numFmtId="0" fontId="5" fillId="10" borderId="6" xfId="0" applyFont="1" applyFill="1" applyBorder="1" applyAlignment="1">
      <alignment horizontal="center" vertical="top"/>
    </xf>
    <xf numFmtId="14" fontId="15" fillId="10" borderId="6" xfId="0" applyNumberFormat="1" applyFont="1" applyFill="1" applyBorder="1" applyAlignment="1">
      <alignment vertical="justify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19" borderId="6" xfId="0" applyFont="1" applyFill="1" applyBorder="1" applyAlignment="1">
      <alignment horizontal="center"/>
    </xf>
    <xf numFmtId="0" fontId="5" fillId="19" borderId="6" xfId="0" applyFont="1" applyFill="1" applyBorder="1" applyAlignment="1">
      <alignment horizontal="left" vertical="top" wrapText="1"/>
    </xf>
    <xf numFmtId="3" fontId="6" fillId="0" borderId="0" xfId="0" applyNumberFormat="1" applyFont="1" applyAlignment="1">
      <alignment vertical="center"/>
    </xf>
    <xf numFmtId="0" fontId="9" fillId="11" borderId="6" xfId="0" applyFont="1" applyFill="1" applyBorder="1" applyAlignment="1">
      <alignment wrapText="1"/>
    </xf>
    <xf numFmtId="0" fontId="9" fillId="11" borderId="6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 wrapText="1"/>
    </xf>
    <xf numFmtId="0" fontId="9" fillId="0" borderId="6" xfId="0" applyFont="1" applyBorder="1"/>
    <xf numFmtId="3" fontId="9" fillId="0" borderId="6" xfId="0" applyNumberFormat="1" applyFont="1" applyBorder="1"/>
    <xf numFmtId="3" fontId="9" fillId="11" borderId="6" xfId="0" applyNumberFormat="1" applyFont="1" applyFill="1" applyBorder="1"/>
    <xf numFmtId="0" fontId="9" fillId="0" borderId="6" xfId="0" applyFont="1" applyBorder="1" applyAlignment="1">
      <alignment wrapText="1"/>
    </xf>
    <xf numFmtId="3" fontId="9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9" fillId="6" borderId="0" xfId="0" applyFont="1" applyFill="1" applyBorder="1" applyAlignment="1">
      <alignment wrapText="1"/>
    </xf>
    <xf numFmtId="0" fontId="9" fillId="11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15" fillId="10" borderId="6" xfId="0" applyNumberFormat="1" applyFont="1" applyFill="1" applyBorder="1"/>
    <xf numFmtId="3" fontId="15" fillId="10" borderId="8" xfId="0" applyNumberFormat="1" applyFont="1" applyFill="1" applyBorder="1"/>
    <xf numFmtId="3" fontId="15" fillId="10" borderId="12" xfId="0" applyNumberFormat="1" applyFont="1" applyFill="1" applyBorder="1" applyAlignment="1">
      <alignment horizontal="right"/>
    </xf>
    <xf numFmtId="0" fontId="9" fillId="9" borderId="6" xfId="0" applyFont="1" applyFill="1" applyBorder="1" applyAlignment="1">
      <alignment wrapText="1"/>
    </xf>
    <xf numFmtId="3" fontId="9" fillId="9" borderId="6" xfId="0" applyNumberFormat="1" applyFont="1" applyFill="1" applyBorder="1"/>
    <xf numFmtId="0" fontId="9" fillId="9" borderId="6" xfId="0" applyFont="1" applyFill="1" applyBorder="1"/>
    <xf numFmtId="3" fontId="9" fillId="7" borderId="6" xfId="0" applyNumberFormat="1" applyFont="1" applyFill="1" applyBorder="1"/>
    <xf numFmtId="0" fontId="9" fillId="7" borderId="6" xfId="0" applyFont="1" applyFill="1" applyBorder="1"/>
    <xf numFmtId="0" fontId="9" fillId="15" borderId="6" xfId="0" applyFont="1" applyFill="1" applyBorder="1" applyAlignment="1">
      <alignment wrapText="1"/>
    </xf>
    <xf numFmtId="3" fontId="9" fillId="15" borderId="6" xfId="0" applyNumberFormat="1" applyFont="1" applyFill="1" applyBorder="1"/>
    <xf numFmtId="0" fontId="9" fillId="15" borderId="6" xfId="0" applyFont="1" applyFill="1" applyBorder="1"/>
    <xf numFmtId="3" fontId="38" fillId="6" borderId="6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right" vertical="center"/>
    </xf>
    <xf numFmtId="3" fontId="5" fillId="6" borderId="9" xfId="0" applyNumberFormat="1" applyFont="1" applyFill="1" applyBorder="1" applyAlignment="1">
      <alignment horizontal="right" vertical="center"/>
    </xf>
    <xf numFmtId="0" fontId="15" fillId="19" borderId="6" xfId="0" applyFont="1" applyFill="1" applyBorder="1" applyAlignment="1">
      <alignment wrapText="1"/>
    </xf>
    <xf numFmtId="0" fontId="5" fillId="19" borderId="7" xfId="0" applyFont="1" applyFill="1" applyBorder="1" applyAlignment="1">
      <alignment horizontal="center"/>
    </xf>
    <xf numFmtId="0" fontId="5" fillId="19" borderId="6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3" fontId="8" fillId="2" borderId="0" xfId="0" applyNumberFormat="1" applyFont="1" applyFill="1" applyBorder="1" applyAlignment="1">
      <alignment horizontal="left"/>
    </xf>
    <xf numFmtId="0" fontId="17" fillId="10" borderId="6" xfId="0" applyFont="1" applyFill="1" applyBorder="1" applyAlignment="1">
      <alignment horizontal="left" wrapText="1"/>
    </xf>
    <xf numFmtId="40" fontId="1" fillId="0" borderId="0" xfId="7" applyNumberFormat="1" applyFont="1"/>
    <xf numFmtId="0" fontId="9" fillId="0" borderId="0" xfId="0" applyFont="1" applyAlignment="1" applyProtection="1">
      <alignment horizontal="center"/>
      <protection locked="0"/>
    </xf>
    <xf numFmtId="14" fontId="15" fillId="10" borderId="8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16" borderId="6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3" fontId="6" fillId="10" borderId="0" xfId="0" applyNumberFormat="1" applyFont="1" applyFill="1" applyBorder="1" applyAlignment="1">
      <alignment horizontal="right"/>
    </xf>
    <xf numFmtId="0" fontId="15" fillId="10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4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33" xfId="0" applyFont="1" applyBorder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12" xfId="0" applyFont="1" applyBorder="1"/>
    <xf numFmtId="0" fontId="5" fillId="0" borderId="0" xfId="0" applyFont="1" applyAlignment="1"/>
    <xf numFmtId="3" fontId="0" fillId="0" borderId="6" xfId="0" applyNumberForma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10" borderId="6" xfId="0" applyFont="1" applyFill="1" applyBorder="1" applyAlignment="1">
      <alignment horizontal="left" vertical="top" wrapText="1"/>
    </xf>
    <xf numFmtId="3" fontId="5" fillId="10" borderId="12" xfId="0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/>
    <xf numFmtId="0" fontId="6" fillId="0" borderId="0" xfId="0" applyFont="1" applyAlignment="1">
      <alignment horizontal="center"/>
    </xf>
    <xf numFmtId="3" fontId="5" fillId="20" borderId="6" xfId="0" applyNumberFormat="1" applyFont="1" applyFill="1" applyBorder="1" applyAlignment="1">
      <alignment horizontal="right"/>
    </xf>
    <xf numFmtId="3" fontId="15" fillId="17" borderId="9" xfId="0" applyNumberFormat="1" applyFont="1" applyFill="1" applyBorder="1" applyAlignment="1">
      <alignment horizontal="right"/>
    </xf>
    <xf numFmtId="3" fontId="15" fillId="17" borderId="6" xfId="0" applyNumberFormat="1" applyFont="1" applyFill="1" applyBorder="1" applyAlignment="1">
      <alignment horizontal="right"/>
    </xf>
    <xf numFmtId="0" fontId="10" fillId="17" borderId="13" xfId="0" applyFont="1" applyFill="1" applyBorder="1" applyAlignment="1">
      <alignment horizontal="left" wrapText="1"/>
    </xf>
    <xf numFmtId="0" fontId="10" fillId="10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left" wrapText="1"/>
    </xf>
    <xf numFmtId="3" fontId="12" fillId="10" borderId="6" xfId="0" applyNumberFormat="1" applyFont="1" applyFill="1" applyBorder="1" applyAlignment="1">
      <alignment horizontal="right" vertical="center"/>
    </xf>
    <xf numFmtId="3" fontId="11" fillId="5" borderId="6" xfId="0" applyNumberFormat="1" applyFont="1" applyFill="1" applyBorder="1" applyAlignment="1">
      <alignment horizontal="right"/>
    </xf>
    <xf numFmtId="0" fontId="12" fillId="10" borderId="6" xfId="0" applyFont="1" applyFill="1" applyBorder="1" applyAlignment="1">
      <alignment vertical="justify" wrapText="1"/>
    </xf>
    <xf numFmtId="0" fontId="10" fillId="10" borderId="6" xfId="0" applyFont="1" applyFill="1" applyBorder="1" applyAlignment="1">
      <alignment horizontal="center" vertical="top"/>
    </xf>
    <xf numFmtId="0" fontId="12" fillId="10" borderId="6" xfId="0" applyFont="1" applyFill="1" applyBorder="1" applyAlignment="1">
      <alignment vertical="justify"/>
    </xf>
    <xf numFmtId="3" fontId="10" fillId="10" borderId="6" xfId="0" applyNumberFormat="1" applyFont="1" applyFill="1" applyBorder="1" applyAlignment="1">
      <alignment horizontal="right"/>
    </xf>
    <xf numFmtId="0" fontId="10" fillId="10" borderId="6" xfId="0" applyFont="1" applyFill="1" applyBorder="1" applyAlignment="1">
      <alignment horizontal="center"/>
    </xf>
    <xf numFmtId="0" fontId="12" fillId="10" borderId="6" xfId="0" applyFont="1" applyFill="1" applyBorder="1" applyAlignment="1">
      <alignment wrapText="1"/>
    </xf>
    <xf numFmtId="0" fontId="12" fillId="10" borderId="6" xfId="0" applyFont="1" applyFill="1" applyBorder="1" applyAlignment="1">
      <alignment horizontal="center" wrapText="1"/>
    </xf>
    <xf numFmtId="3" fontId="11" fillId="10" borderId="6" xfId="0" applyNumberFormat="1" applyFont="1" applyFill="1" applyBorder="1" applyAlignment="1">
      <alignment horizontal="right"/>
    </xf>
    <xf numFmtId="14" fontId="15" fillId="2" borderId="6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14" fillId="0" borderId="0" xfId="0" applyFont="1" applyAlignme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/>
    </xf>
    <xf numFmtId="0" fontId="29" fillId="0" borderId="0" xfId="0" applyFont="1" applyAlignment="1">
      <alignment horizontal="left" vertical="justify" wrapText="1"/>
    </xf>
    <xf numFmtId="0" fontId="8" fillId="5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11" borderId="17" xfId="0" applyFont="1" applyFill="1" applyBorder="1" applyAlignment="1">
      <alignment horizontal="center"/>
    </xf>
    <xf numFmtId="0" fontId="6" fillId="11" borderId="18" xfId="0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11" borderId="10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wrapText="1"/>
    </xf>
    <xf numFmtId="0" fontId="49" fillId="2" borderId="0" xfId="0" applyFont="1" applyFill="1" applyAlignment="1">
      <alignment horizontal="center"/>
    </xf>
    <xf numFmtId="0" fontId="48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4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</cellXfs>
  <cellStyles count="8">
    <cellStyle name="Normal" xfId="0" builtinId="0"/>
    <cellStyle name="Normal 2" xfId="1"/>
    <cellStyle name="Normal 2 2" xfId="4"/>
    <cellStyle name="Normal 3" xfId="2"/>
    <cellStyle name="Normal 3 2" xfId="5"/>
    <cellStyle name="Normal 4" xfId="3"/>
    <cellStyle name="Normal 4 2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111</xdr:row>
      <xdr:rowOff>0</xdr:rowOff>
    </xdr:from>
    <xdr:to>
      <xdr:col>1</xdr:col>
      <xdr:colOff>285750</xdr:colOff>
      <xdr:row>111</xdr:row>
      <xdr:rowOff>216355</xdr:rowOff>
    </xdr:to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990600" y="2442210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vijaI/Documents/VA&#381;NO/ADVIJA/BUD&#381;ET%20za%202019.god/Izvje&#353;taji%202019/OP&#262;INSKO%20VIJE&#262;E/Izvr&#353;enje%20sa%2030.09.2019.%20kona&#269;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vijaI/Documents/VA&#381;NO/ADVIJA/BUD&#381;ET%20za%202019.god/REBALANS%20BUD&#381;ETA%202019/PRIPREMLJEN%20REBALANS%20DRUGI%202019/Rebalans%20za%202019%20drugi%20u%20toku%20-%20drugi%20nastava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vijaI.OPCINALUKAVAC.000\Documents\VA&#381;NO\ADVIJA\BUD&#381;ET%20za%202019.god\PRIJEDLOG%20BUD&#381;ETA%202019\ZUHDIJA%20PRIJED.%20BUD&#381;ET%202019%20-%20sa%20NOVOM%20ORG.-SLU&#381;B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"/>
      <sheetName val="Str.1"/>
      <sheetName val="PRIMICI"/>
      <sheetName val="Izdaci "/>
      <sheetName val="Korisnici"/>
      <sheetName val="Funkcionalna"/>
    </sheetNames>
    <sheetDataSet>
      <sheetData sheetId="0"/>
      <sheetData sheetId="1"/>
      <sheetData sheetId="2"/>
      <sheetData sheetId="3"/>
      <sheetData sheetId="4">
        <row r="24">
          <cell r="G24">
            <v>35000</v>
          </cell>
        </row>
        <row r="26">
          <cell r="G26">
            <v>35000</v>
          </cell>
        </row>
        <row r="31">
          <cell r="G31">
            <v>249631</v>
          </cell>
        </row>
        <row r="55">
          <cell r="G55">
            <v>71535</v>
          </cell>
        </row>
        <row r="89">
          <cell r="G89">
            <v>5644</v>
          </cell>
        </row>
        <row r="97">
          <cell r="G97">
            <v>355538</v>
          </cell>
        </row>
        <row r="127">
          <cell r="G127">
            <v>21782</v>
          </cell>
        </row>
        <row r="129">
          <cell r="G129">
            <v>157500</v>
          </cell>
        </row>
        <row r="136">
          <cell r="G136">
            <v>460651</v>
          </cell>
        </row>
        <row r="143">
          <cell r="G143">
            <v>477455</v>
          </cell>
        </row>
        <row r="145">
          <cell r="G145">
            <v>43353</v>
          </cell>
        </row>
        <row r="162">
          <cell r="G162">
            <v>47147</v>
          </cell>
        </row>
        <row r="165">
          <cell r="G165">
            <v>438189</v>
          </cell>
        </row>
        <row r="174">
          <cell r="G174">
            <v>127625</v>
          </cell>
        </row>
        <row r="178">
          <cell r="G178">
            <v>80100</v>
          </cell>
        </row>
        <row r="179">
          <cell r="G179">
            <v>1650</v>
          </cell>
        </row>
        <row r="182">
          <cell r="G182">
            <v>15977</v>
          </cell>
        </row>
        <row r="186">
          <cell r="G186">
            <v>13019</v>
          </cell>
        </row>
        <row r="187">
          <cell r="G187">
            <v>91047</v>
          </cell>
        </row>
        <row r="198">
          <cell r="G198">
            <v>6000</v>
          </cell>
        </row>
        <row r="201">
          <cell r="G201">
            <v>12500</v>
          </cell>
        </row>
        <row r="202">
          <cell r="G202">
            <v>6500</v>
          </cell>
        </row>
        <row r="203">
          <cell r="G203">
            <v>361897</v>
          </cell>
        </row>
        <row r="207">
          <cell r="G207">
            <v>333625</v>
          </cell>
        </row>
        <row r="210">
          <cell r="G210">
            <v>222253</v>
          </cell>
        </row>
        <row r="212">
          <cell r="G212">
            <v>304200</v>
          </cell>
        </row>
        <row r="215">
          <cell r="G215">
            <v>149137</v>
          </cell>
        </row>
        <row r="216">
          <cell r="G216">
            <v>70000</v>
          </cell>
        </row>
        <row r="220">
          <cell r="G220">
            <v>641</v>
          </cell>
        </row>
        <row r="221">
          <cell r="G221">
            <v>24194</v>
          </cell>
        </row>
        <row r="222">
          <cell r="G222">
            <v>46200</v>
          </cell>
        </row>
        <row r="223">
          <cell r="G223">
            <v>8664</v>
          </cell>
        </row>
        <row r="224">
          <cell r="G224">
            <v>142</v>
          </cell>
        </row>
        <row r="226">
          <cell r="G226">
            <v>36350</v>
          </cell>
        </row>
        <row r="227">
          <cell r="G227">
            <v>69041</v>
          </cell>
        </row>
        <row r="241">
          <cell r="G241">
            <v>27900</v>
          </cell>
        </row>
        <row r="242">
          <cell r="G242">
            <v>6913</v>
          </cell>
        </row>
        <row r="245">
          <cell r="G245">
            <v>61129</v>
          </cell>
        </row>
        <row r="246">
          <cell r="G246">
            <v>5500</v>
          </cell>
        </row>
        <row r="247">
          <cell r="G247">
            <v>10000</v>
          </cell>
        </row>
        <row r="248">
          <cell r="G248">
            <v>7000</v>
          </cell>
        </row>
        <row r="253">
          <cell r="G253">
            <v>0</v>
          </cell>
        </row>
        <row r="262">
          <cell r="G262">
            <v>341746</v>
          </cell>
        </row>
        <row r="264">
          <cell r="G264">
            <v>32315</v>
          </cell>
        </row>
        <row r="266">
          <cell r="G266">
            <v>80</v>
          </cell>
        </row>
        <row r="267">
          <cell r="G267">
            <v>437309</v>
          </cell>
        </row>
        <row r="271">
          <cell r="G271">
            <v>1640</v>
          </cell>
        </row>
        <row r="274">
          <cell r="G274">
            <v>571455</v>
          </cell>
        </row>
        <row r="279">
          <cell r="G279">
            <v>2217</v>
          </cell>
        </row>
        <row r="282">
          <cell r="G282">
            <v>146450</v>
          </cell>
        </row>
        <row r="284">
          <cell r="G284">
            <v>97786</v>
          </cell>
        </row>
        <row r="294">
          <cell r="G294">
            <v>72765</v>
          </cell>
        </row>
        <row r="296">
          <cell r="G296">
            <v>18000</v>
          </cell>
        </row>
        <row r="297">
          <cell r="G297">
            <v>141987</v>
          </cell>
        </row>
        <row r="301">
          <cell r="G301">
            <v>16445</v>
          </cell>
        </row>
        <row r="304">
          <cell r="G304">
            <v>276026</v>
          </cell>
        </row>
        <row r="322">
          <cell r="G322">
            <v>126500</v>
          </cell>
        </row>
        <row r="330">
          <cell r="G330">
            <v>27000</v>
          </cell>
        </row>
        <row r="333">
          <cell r="G333">
            <v>150000</v>
          </cell>
        </row>
        <row r="336">
          <cell r="G336">
            <v>42740</v>
          </cell>
        </row>
        <row r="340">
          <cell r="G340">
            <v>1411927</v>
          </cell>
        </row>
        <row r="363">
          <cell r="G363">
            <v>53661</v>
          </cell>
        </row>
        <row r="367">
          <cell r="G367">
            <v>27119</v>
          </cell>
        </row>
        <row r="369">
          <cell r="G369">
            <v>38592</v>
          </cell>
        </row>
        <row r="374">
          <cell r="G374">
            <v>161060</v>
          </cell>
        </row>
        <row r="375">
          <cell r="G375">
            <v>401413</v>
          </cell>
        </row>
        <row r="380">
          <cell r="G380">
            <v>35</v>
          </cell>
        </row>
        <row r="388">
          <cell r="G388">
            <v>19416</v>
          </cell>
        </row>
        <row r="420">
          <cell r="G420">
            <v>19880</v>
          </cell>
        </row>
        <row r="433">
          <cell r="G433">
            <v>125283</v>
          </cell>
        </row>
        <row r="436">
          <cell r="G436">
            <v>527785</v>
          </cell>
        </row>
        <row r="458">
          <cell r="G458">
            <v>29200</v>
          </cell>
        </row>
        <row r="467">
          <cell r="G467">
            <v>229347</v>
          </cell>
        </row>
        <row r="503">
          <cell r="G503">
            <v>350529</v>
          </cell>
        </row>
        <row r="633">
          <cell r="G633">
            <v>4795</v>
          </cell>
        </row>
        <row r="634">
          <cell r="G634">
            <v>877</v>
          </cell>
        </row>
        <row r="646">
          <cell r="G646">
            <v>549206</v>
          </cell>
        </row>
        <row r="668">
          <cell r="G668">
            <v>53772</v>
          </cell>
        </row>
        <row r="690">
          <cell r="G690">
            <v>84375</v>
          </cell>
        </row>
        <row r="695">
          <cell r="G695">
            <v>0</v>
          </cell>
        </row>
        <row r="699">
          <cell r="G699">
            <v>214760</v>
          </cell>
        </row>
        <row r="701">
          <cell r="G701">
            <v>4060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.1"/>
      <sheetName val="PRIMICI"/>
      <sheetName val="Izdaci "/>
      <sheetName val="Korisnici"/>
      <sheetName val="funkcionalna"/>
      <sheetName val="Sheet1"/>
    </sheetNames>
    <sheetDataSet>
      <sheetData sheetId="0" refreshError="1"/>
      <sheetData sheetId="1" refreshError="1"/>
      <sheetData sheetId="2" refreshError="1"/>
      <sheetData sheetId="3">
        <row r="23">
          <cell r="J23">
            <v>0</v>
          </cell>
          <cell r="K23">
            <v>0</v>
          </cell>
          <cell r="L23">
            <v>0</v>
          </cell>
          <cell r="M23">
            <v>352300</v>
          </cell>
        </row>
        <row r="25">
          <cell r="M25">
            <v>35000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1000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107250</v>
          </cell>
        </row>
        <row r="87">
          <cell r="M87">
            <v>0</v>
          </cell>
        </row>
        <row r="88">
          <cell r="M88">
            <v>0</v>
          </cell>
        </row>
        <row r="98">
          <cell r="M98">
            <v>25000</v>
          </cell>
        </row>
        <row r="105">
          <cell r="J105">
            <v>0</v>
          </cell>
          <cell r="M105">
            <v>22400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578600</v>
          </cell>
        </row>
        <row r="137">
          <cell r="J137">
            <v>0</v>
          </cell>
          <cell r="K137">
            <v>0</v>
          </cell>
          <cell r="L137">
            <v>0</v>
          </cell>
          <cell r="M137">
            <v>42072.87</v>
          </cell>
        </row>
        <row r="139">
          <cell r="K139">
            <v>210000</v>
          </cell>
          <cell r="M139">
            <v>210000</v>
          </cell>
        </row>
        <row r="146">
          <cell r="J146">
            <v>0</v>
          </cell>
          <cell r="K146">
            <v>210000</v>
          </cell>
          <cell r="L146">
            <v>0</v>
          </cell>
          <cell r="M146">
            <v>722272.87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643950</v>
          </cell>
        </row>
        <row r="155">
          <cell r="M155">
            <v>59500</v>
          </cell>
        </row>
        <row r="156">
          <cell r="M156">
            <v>4000</v>
          </cell>
        </row>
        <row r="170">
          <cell r="M170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89100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517900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147300</v>
          </cell>
        </row>
        <row r="195">
          <cell r="M195">
            <v>80450</v>
          </cell>
        </row>
        <row r="196">
          <cell r="M196">
            <v>2000</v>
          </cell>
        </row>
        <row r="197">
          <cell r="M197">
            <v>8000</v>
          </cell>
        </row>
        <row r="198">
          <cell r="M198">
            <v>0</v>
          </cell>
        </row>
        <row r="199">
          <cell r="M199">
            <v>22500</v>
          </cell>
        </row>
        <row r="203">
          <cell r="M203">
            <v>20450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118100</v>
          </cell>
        </row>
        <row r="215">
          <cell r="M215">
            <v>14000</v>
          </cell>
        </row>
        <row r="218">
          <cell r="M218">
            <v>23000</v>
          </cell>
        </row>
        <row r="219">
          <cell r="M219">
            <v>6500</v>
          </cell>
        </row>
        <row r="220">
          <cell r="M220">
            <v>445350</v>
          </cell>
        </row>
        <row r="224">
          <cell r="M224">
            <v>434850</v>
          </cell>
        </row>
        <row r="227">
          <cell r="M227">
            <v>283000</v>
          </cell>
        </row>
        <row r="229">
          <cell r="M229">
            <v>442550</v>
          </cell>
        </row>
        <row r="232">
          <cell r="M232">
            <v>198850</v>
          </cell>
        </row>
        <row r="233">
          <cell r="M233">
            <v>70000</v>
          </cell>
        </row>
        <row r="234">
          <cell r="M234">
            <v>1000</v>
          </cell>
        </row>
        <row r="235">
          <cell r="M235">
            <v>0</v>
          </cell>
        </row>
        <row r="237">
          <cell r="M237">
            <v>1300</v>
          </cell>
        </row>
        <row r="238">
          <cell r="L238">
            <v>35000</v>
          </cell>
          <cell r="M238">
            <v>35000</v>
          </cell>
        </row>
        <row r="239">
          <cell r="L239">
            <v>40000</v>
          </cell>
          <cell r="M239">
            <v>40000</v>
          </cell>
        </row>
        <row r="240">
          <cell r="L240">
            <v>8000</v>
          </cell>
          <cell r="M240">
            <v>8000</v>
          </cell>
        </row>
        <row r="241">
          <cell r="L241">
            <v>1000</v>
          </cell>
          <cell r="M241">
            <v>1000</v>
          </cell>
        </row>
        <row r="242">
          <cell r="L242">
            <v>6000</v>
          </cell>
          <cell r="M242">
            <v>6000</v>
          </cell>
        </row>
        <row r="243">
          <cell r="L243">
            <v>25000</v>
          </cell>
          <cell r="M243">
            <v>25000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97250</v>
          </cell>
        </row>
        <row r="258">
          <cell r="M258">
            <v>58500</v>
          </cell>
        </row>
        <row r="259">
          <cell r="M259">
            <v>0</v>
          </cell>
        </row>
        <row r="261">
          <cell r="M261">
            <v>0</v>
          </cell>
        </row>
        <row r="262">
          <cell r="M262">
            <v>0</v>
          </cell>
        </row>
        <row r="263">
          <cell r="M263">
            <v>1000</v>
          </cell>
        </row>
        <row r="266">
          <cell r="L266">
            <v>60000</v>
          </cell>
          <cell r="M266">
            <v>60000</v>
          </cell>
        </row>
        <row r="267">
          <cell r="M267">
            <v>30000</v>
          </cell>
        </row>
        <row r="268">
          <cell r="M268">
            <v>0</v>
          </cell>
        </row>
        <row r="269">
          <cell r="M269">
            <v>10000</v>
          </cell>
        </row>
        <row r="277">
          <cell r="L277">
            <v>0</v>
          </cell>
          <cell r="M277">
            <v>8000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484620</v>
          </cell>
        </row>
        <row r="288">
          <cell r="M288">
            <v>46200</v>
          </cell>
        </row>
        <row r="290">
          <cell r="M290">
            <v>1200</v>
          </cell>
        </row>
        <row r="291">
          <cell r="J291">
            <v>0</v>
          </cell>
          <cell r="K291">
            <v>602500</v>
          </cell>
          <cell r="L291">
            <v>0</v>
          </cell>
          <cell r="M291">
            <v>602500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3300</v>
          </cell>
        </row>
        <row r="298">
          <cell r="J298">
            <v>0</v>
          </cell>
          <cell r="K298">
            <v>800000</v>
          </cell>
          <cell r="L298">
            <v>0</v>
          </cell>
          <cell r="M298">
            <v>800000</v>
          </cell>
        </row>
        <row r="303">
          <cell r="K303">
            <v>30000</v>
          </cell>
          <cell r="M303">
            <v>35000</v>
          </cell>
        </row>
        <row r="306">
          <cell r="K306">
            <v>467115</v>
          </cell>
          <cell r="M306">
            <v>467115</v>
          </cell>
        </row>
        <row r="308">
          <cell r="K308">
            <v>150000</v>
          </cell>
          <cell r="M308">
            <v>150000</v>
          </cell>
        </row>
        <row r="309">
          <cell r="K309">
            <v>13000</v>
          </cell>
          <cell r="M309">
            <v>13000</v>
          </cell>
        </row>
        <row r="310">
          <cell r="K310">
            <v>2000</v>
          </cell>
          <cell r="M310">
            <v>2000</v>
          </cell>
        </row>
        <row r="312">
          <cell r="M312">
            <v>1000</v>
          </cell>
        </row>
        <row r="313">
          <cell r="M313">
            <v>900</v>
          </cell>
        </row>
        <row r="314">
          <cell r="M314">
            <v>1000</v>
          </cell>
        </row>
        <row r="315">
          <cell r="M315">
            <v>0</v>
          </cell>
        </row>
        <row r="318">
          <cell r="M318">
            <v>97020</v>
          </cell>
        </row>
        <row r="319">
          <cell r="M319">
            <v>18360</v>
          </cell>
        </row>
        <row r="322">
          <cell r="M322">
            <v>1000</v>
          </cell>
        </row>
        <row r="325">
          <cell r="K325">
            <v>20000</v>
          </cell>
          <cell r="M325">
            <v>20000</v>
          </cell>
        </row>
        <row r="327">
          <cell r="K327">
            <v>6000</v>
          </cell>
          <cell r="M327">
            <v>6000</v>
          </cell>
        </row>
        <row r="328">
          <cell r="J328">
            <v>0</v>
          </cell>
          <cell r="K328">
            <v>439525.61</v>
          </cell>
          <cell r="L328">
            <v>110787</v>
          </cell>
          <cell r="M328">
            <v>550312.61</v>
          </cell>
        </row>
        <row r="347">
          <cell r="J347">
            <v>0</v>
          </cell>
          <cell r="K347">
            <v>152500</v>
          </cell>
          <cell r="L347">
            <v>0</v>
          </cell>
          <cell r="M347">
            <v>152500</v>
          </cell>
        </row>
        <row r="355">
          <cell r="K355">
            <v>50000</v>
          </cell>
          <cell r="M355">
            <v>50000</v>
          </cell>
        </row>
        <row r="356">
          <cell r="K356">
            <v>1000</v>
          </cell>
          <cell r="M356">
            <v>1000</v>
          </cell>
        </row>
        <row r="357">
          <cell r="K357">
            <v>50000</v>
          </cell>
          <cell r="M357">
            <v>50000</v>
          </cell>
        </row>
        <row r="358">
          <cell r="K358">
            <v>150000</v>
          </cell>
          <cell r="M358">
            <v>150000</v>
          </cell>
        </row>
        <row r="359">
          <cell r="K359">
            <v>1000</v>
          </cell>
          <cell r="M359">
            <v>1000</v>
          </cell>
        </row>
        <row r="360">
          <cell r="K360">
            <v>1000</v>
          </cell>
          <cell r="M360">
            <v>1000</v>
          </cell>
        </row>
        <row r="365">
          <cell r="J365">
            <v>1402304</v>
          </cell>
          <cell r="K365">
            <v>1208380.48</v>
          </cell>
          <cell r="L365">
            <v>999999.7</v>
          </cell>
          <cell r="M365">
            <v>3610684.1799999997</v>
          </cell>
        </row>
        <row r="392">
          <cell r="K392">
            <v>100000</v>
          </cell>
          <cell r="L392">
            <v>50000</v>
          </cell>
          <cell r="M392">
            <v>150000</v>
          </cell>
        </row>
        <row r="395">
          <cell r="K395">
            <v>97451.89</v>
          </cell>
          <cell r="M395">
            <v>97451.89</v>
          </cell>
        </row>
        <row r="397">
          <cell r="M397">
            <v>0</v>
          </cell>
        </row>
        <row r="402">
          <cell r="M402">
            <v>0</v>
          </cell>
        </row>
        <row r="403">
          <cell r="K403">
            <v>880535</v>
          </cell>
          <cell r="M403">
            <v>880535</v>
          </cell>
        </row>
        <row r="410">
          <cell r="K410">
            <v>50000</v>
          </cell>
          <cell r="M410">
            <v>50000</v>
          </cell>
        </row>
        <row r="411">
          <cell r="J411">
            <v>0</v>
          </cell>
          <cell r="K411">
            <v>0</v>
          </cell>
          <cell r="L411">
            <v>0</v>
          </cell>
          <cell r="M411">
            <v>40000</v>
          </cell>
        </row>
        <row r="412">
          <cell r="K412">
            <v>0</v>
          </cell>
          <cell r="L412">
            <v>0</v>
          </cell>
          <cell r="M412">
            <v>20000</v>
          </cell>
        </row>
        <row r="413">
          <cell r="K413">
            <v>1000</v>
          </cell>
          <cell r="M413">
            <v>1000</v>
          </cell>
        </row>
        <row r="414">
          <cell r="K414">
            <v>1000</v>
          </cell>
          <cell r="M414">
            <v>1000</v>
          </cell>
        </row>
        <row r="416">
          <cell r="M416">
            <v>30000</v>
          </cell>
        </row>
        <row r="417">
          <cell r="M417">
            <v>30000</v>
          </cell>
        </row>
        <row r="418">
          <cell r="M418">
            <v>0</v>
          </cell>
        </row>
        <row r="419">
          <cell r="J419">
            <v>1402304</v>
          </cell>
          <cell r="K419">
            <v>2711124.48</v>
          </cell>
          <cell r="L419">
            <v>1439999.7</v>
          </cell>
          <cell r="M419">
            <v>5768428.1799999997</v>
          </cell>
        </row>
        <row r="421">
          <cell r="J421">
            <v>1402304</v>
          </cell>
          <cell r="K421">
            <v>5494265.0899999999</v>
          </cell>
          <cell r="L421">
            <v>1550786.7</v>
          </cell>
          <cell r="M421">
            <v>9605955.7899999991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3400</v>
          </cell>
        </row>
        <row r="448">
          <cell r="M448">
            <v>30000</v>
          </cell>
        </row>
        <row r="450">
          <cell r="M450">
            <v>100</v>
          </cell>
        </row>
        <row r="453">
          <cell r="M453">
            <v>1000</v>
          </cell>
        </row>
        <row r="454">
          <cell r="J454">
            <v>0</v>
          </cell>
          <cell r="K454">
            <v>22100</v>
          </cell>
          <cell r="L454">
            <v>0</v>
          </cell>
          <cell r="M454">
            <v>73200</v>
          </cell>
        </row>
        <row r="456">
          <cell r="M456">
            <v>0</v>
          </cell>
        </row>
        <row r="462">
          <cell r="J462">
            <v>0</v>
          </cell>
          <cell r="K462">
            <v>22100</v>
          </cell>
          <cell r="L462">
            <v>220000</v>
          </cell>
          <cell r="M462">
            <v>855500</v>
          </cell>
        </row>
        <row r="722">
          <cell r="M722">
            <v>3000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"/>
      <sheetName val="Str.1"/>
      <sheetName val="PRIMICI"/>
      <sheetName val="Izdaci "/>
      <sheetName val="Korisnici"/>
      <sheetName val="ORG.KLASIF."/>
      <sheetName val="funkcionaln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F23">
            <v>331040</v>
          </cell>
        </row>
        <row r="30">
          <cell r="F30">
            <v>251300</v>
          </cell>
        </row>
        <row r="60">
          <cell r="F60">
            <v>89291</v>
          </cell>
        </row>
        <row r="88">
          <cell r="F88">
            <v>39200</v>
          </cell>
        </row>
        <row r="89">
          <cell r="F89">
            <v>5720</v>
          </cell>
        </row>
        <row r="100">
          <cell r="F100">
            <v>50000</v>
          </cell>
        </row>
        <row r="107">
          <cell r="F107">
            <v>66000</v>
          </cell>
        </row>
        <row r="109">
          <cell r="F109">
            <v>876337</v>
          </cell>
        </row>
        <row r="139">
          <cell r="F139">
            <v>42001</v>
          </cell>
        </row>
        <row r="141">
          <cell r="F141">
            <v>210000</v>
          </cell>
        </row>
        <row r="148">
          <cell r="F148">
            <v>789422</v>
          </cell>
        </row>
        <row r="155">
          <cell r="F155">
            <v>582273</v>
          </cell>
        </row>
        <row r="157">
          <cell r="F157">
            <v>53886</v>
          </cell>
        </row>
        <row r="158">
          <cell r="F158">
            <v>7359</v>
          </cell>
        </row>
        <row r="172">
          <cell r="F172">
            <v>500</v>
          </cell>
        </row>
        <row r="179">
          <cell r="F179">
            <v>133384</v>
          </cell>
        </row>
        <row r="183">
          <cell r="F183">
            <v>259600</v>
          </cell>
        </row>
        <row r="185">
          <cell r="F185">
            <v>30000</v>
          </cell>
        </row>
        <row r="187">
          <cell r="F187">
            <v>160000</v>
          </cell>
        </row>
        <row r="189">
          <cell r="F189">
            <v>50000</v>
          </cell>
        </row>
        <row r="190">
          <cell r="F190">
            <v>20000</v>
          </cell>
        </row>
        <row r="191">
          <cell r="F191">
            <v>220000</v>
          </cell>
        </row>
        <row r="197">
          <cell r="F197">
            <v>80000</v>
          </cell>
        </row>
        <row r="198">
          <cell r="F198">
            <v>2000</v>
          </cell>
        </row>
        <row r="199">
          <cell r="F199">
            <v>8000</v>
          </cell>
        </row>
        <row r="200">
          <cell r="F200">
            <v>4000</v>
          </cell>
        </row>
        <row r="201">
          <cell r="F201">
            <v>50000</v>
          </cell>
        </row>
        <row r="205">
          <cell r="F205">
            <v>20000</v>
          </cell>
        </row>
        <row r="206">
          <cell r="F206">
            <v>80000</v>
          </cell>
        </row>
        <row r="212">
          <cell r="F212">
            <v>6000</v>
          </cell>
        </row>
        <row r="216">
          <cell r="F216">
            <v>14000</v>
          </cell>
        </row>
        <row r="219">
          <cell r="F219">
            <v>15000</v>
          </cell>
        </row>
        <row r="220">
          <cell r="F220">
            <v>10000</v>
          </cell>
        </row>
        <row r="221">
          <cell r="F221">
            <v>360754</v>
          </cell>
        </row>
        <row r="227">
          <cell r="F227">
            <v>9150</v>
          </cell>
        </row>
        <row r="228">
          <cell r="F228">
            <v>334800</v>
          </cell>
        </row>
        <row r="231">
          <cell r="F231">
            <v>283000</v>
          </cell>
        </row>
        <row r="233">
          <cell r="F233">
            <v>461600</v>
          </cell>
        </row>
        <row r="236">
          <cell r="F236">
            <v>178850</v>
          </cell>
        </row>
        <row r="237">
          <cell r="F237">
            <v>70000</v>
          </cell>
        </row>
        <row r="238">
          <cell r="F238">
            <v>1000</v>
          </cell>
        </row>
        <row r="239">
          <cell r="F239">
            <v>7500</v>
          </cell>
        </row>
        <row r="241">
          <cell r="F241">
            <v>2000</v>
          </cell>
        </row>
        <row r="242">
          <cell r="F242">
            <v>30000</v>
          </cell>
        </row>
        <row r="243">
          <cell r="F243">
            <v>40000</v>
          </cell>
        </row>
        <row r="244">
          <cell r="F244">
            <v>7500</v>
          </cell>
        </row>
        <row r="246">
          <cell r="F246">
            <v>6000</v>
          </cell>
        </row>
        <row r="247">
          <cell r="F247">
            <v>25000</v>
          </cell>
        </row>
        <row r="248">
          <cell r="F248">
            <v>101500</v>
          </cell>
        </row>
        <row r="262">
          <cell r="F262">
            <v>60000</v>
          </cell>
        </row>
        <row r="263">
          <cell r="F263">
            <v>37500</v>
          </cell>
        </row>
        <row r="265">
          <cell r="F265">
            <v>24000</v>
          </cell>
        </row>
        <row r="267">
          <cell r="F267">
            <v>1000</v>
          </cell>
        </row>
        <row r="270">
          <cell r="F270">
            <v>150000</v>
          </cell>
        </row>
        <row r="271">
          <cell r="F271">
            <v>30000</v>
          </cell>
        </row>
        <row r="272">
          <cell r="F272">
            <v>10000</v>
          </cell>
        </row>
        <row r="273">
          <cell r="F273">
            <v>10000</v>
          </cell>
        </row>
        <row r="274">
          <cell r="F274">
            <v>40000</v>
          </cell>
        </row>
        <row r="275">
          <cell r="F275">
            <v>15000</v>
          </cell>
        </row>
        <row r="289">
          <cell r="F289">
            <v>263507</v>
          </cell>
        </row>
        <row r="291">
          <cell r="F291">
            <v>24621</v>
          </cell>
        </row>
        <row r="293">
          <cell r="F293">
            <v>1200</v>
          </cell>
        </row>
        <row r="294">
          <cell r="F294">
            <v>532500</v>
          </cell>
        </row>
        <row r="298">
          <cell r="F298">
            <v>2700</v>
          </cell>
        </row>
        <row r="301">
          <cell r="F301">
            <v>870000</v>
          </cell>
        </row>
        <row r="306">
          <cell r="F306">
            <v>3000</v>
          </cell>
        </row>
        <row r="309">
          <cell r="F309">
            <v>376350</v>
          </cell>
        </row>
        <row r="311">
          <cell r="F311">
            <v>190000</v>
          </cell>
        </row>
        <row r="312">
          <cell r="F312">
            <v>10000</v>
          </cell>
        </row>
        <row r="313">
          <cell r="F313">
            <v>5000</v>
          </cell>
        </row>
        <row r="315">
          <cell r="F315">
            <v>1000</v>
          </cell>
        </row>
        <row r="316">
          <cell r="F316">
            <v>1000</v>
          </cell>
        </row>
        <row r="317">
          <cell r="F317">
            <v>10000</v>
          </cell>
        </row>
        <row r="321">
          <cell r="F321">
            <v>97020</v>
          </cell>
        </row>
        <row r="322">
          <cell r="F322">
            <v>18360</v>
          </cell>
        </row>
        <row r="323">
          <cell r="F323">
            <v>33600</v>
          </cell>
        </row>
        <row r="326">
          <cell r="F326">
            <v>30000</v>
          </cell>
        </row>
        <row r="328">
          <cell r="F328">
            <v>60000</v>
          </cell>
        </row>
        <row r="329">
          <cell r="F329">
            <v>809079</v>
          </cell>
        </row>
        <row r="350">
          <cell r="F350">
            <v>140000</v>
          </cell>
        </row>
        <row r="358">
          <cell r="F358">
            <v>70000</v>
          </cell>
        </row>
        <row r="359">
          <cell r="F359">
            <v>30000</v>
          </cell>
        </row>
        <row r="360">
          <cell r="F360">
            <v>100000</v>
          </cell>
        </row>
        <row r="361">
          <cell r="F361">
            <v>20000</v>
          </cell>
        </row>
        <row r="362">
          <cell r="F362">
            <v>200000</v>
          </cell>
        </row>
        <row r="363">
          <cell r="F363">
            <v>1000</v>
          </cell>
        </row>
        <row r="367">
          <cell r="F367">
            <v>4606769</v>
          </cell>
        </row>
        <row r="397">
          <cell r="F397">
            <v>121632</v>
          </cell>
        </row>
        <row r="401">
          <cell r="F401">
            <v>300000</v>
          </cell>
        </row>
        <row r="412">
          <cell r="F412">
            <v>613300</v>
          </cell>
        </row>
        <row r="417">
          <cell r="F417">
            <v>300000</v>
          </cell>
        </row>
        <row r="418">
          <cell r="F418">
            <v>931718</v>
          </cell>
        </row>
        <row r="425">
          <cell r="F425">
            <v>160000</v>
          </cell>
        </row>
        <row r="426">
          <cell r="F426">
            <v>50000</v>
          </cell>
        </row>
        <row r="427">
          <cell r="F427">
            <v>70000</v>
          </cell>
        </row>
        <row r="428">
          <cell r="F428">
            <v>271200</v>
          </cell>
        </row>
        <row r="434">
          <cell r="F434">
            <v>20000</v>
          </cell>
        </row>
        <row r="435">
          <cell r="F435">
            <v>20000</v>
          </cell>
        </row>
        <row r="436">
          <cell r="F436">
            <v>113000</v>
          </cell>
        </row>
        <row r="468">
          <cell r="F468">
            <v>55000</v>
          </cell>
        </row>
        <row r="469">
          <cell r="F469">
            <v>20000</v>
          </cell>
        </row>
        <row r="470">
          <cell r="F470">
            <v>14400</v>
          </cell>
        </row>
        <row r="475">
          <cell r="F475">
            <v>157716</v>
          </cell>
        </row>
        <row r="476">
          <cell r="F476">
            <v>157716</v>
          </cell>
        </row>
        <row r="478">
          <cell r="F478">
            <v>685187</v>
          </cell>
        </row>
        <row r="484">
          <cell r="F484">
            <v>506855</v>
          </cell>
        </row>
        <row r="486">
          <cell r="F486">
            <v>47931</v>
          </cell>
        </row>
        <row r="498">
          <cell r="F498">
            <v>39000</v>
          </cell>
        </row>
        <row r="500">
          <cell r="F500">
            <v>1000</v>
          </cell>
        </row>
        <row r="524">
          <cell r="F524">
            <v>17680</v>
          </cell>
        </row>
        <row r="539">
          <cell r="F539">
            <v>1799937</v>
          </cell>
        </row>
        <row r="632">
          <cell r="F632">
            <v>2790456</v>
          </cell>
        </row>
        <row r="679">
          <cell r="F679">
            <v>564048</v>
          </cell>
        </row>
        <row r="723">
          <cell r="F723">
            <v>112500</v>
          </cell>
        </row>
        <row r="728">
          <cell r="F728">
            <v>50000</v>
          </cell>
        </row>
        <row r="732">
          <cell r="F732">
            <v>299238.49</v>
          </cell>
        </row>
        <row r="734">
          <cell r="F734">
            <v>70000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60" workbookViewId="0">
      <selection activeCell="F29" sqref="F29"/>
    </sheetView>
  </sheetViews>
  <sheetFormatPr defaultRowHeight="12.75" x14ac:dyDescent="0.2"/>
  <sheetData>
    <row r="1" spans="1:13" ht="15.75" x14ac:dyDescent="0.25">
      <c r="C1" s="805" t="s">
        <v>61</v>
      </c>
      <c r="D1" s="805"/>
      <c r="E1" s="805"/>
      <c r="F1" s="805"/>
      <c r="G1" s="805"/>
      <c r="H1" s="302"/>
      <c r="I1" s="302"/>
      <c r="J1" s="302"/>
      <c r="K1" s="302"/>
      <c r="L1" s="302"/>
      <c r="M1" s="302"/>
    </row>
    <row r="2" spans="1:13" ht="15.75" x14ac:dyDescent="0.25">
      <c r="C2" s="805" t="s">
        <v>62</v>
      </c>
      <c r="D2" s="805"/>
      <c r="E2" s="805"/>
      <c r="F2" s="805"/>
      <c r="G2" s="805"/>
      <c r="H2" s="302"/>
      <c r="I2" s="302"/>
      <c r="J2" s="302"/>
      <c r="K2" s="302"/>
      <c r="L2" s="302"/>
      <c r="M2" s="302"/>
    </row>
    <row r="3" spans="1:13" ht="15.75" x14ac:dyDescent="0.25">
      <c r="C3" s="805" t="s">
        <v>63</v>
      </c>
      <c r="D3" s="805"/>
      <c r="E3" s="805"/>
      <c r="F3" s="805"/>
      <c r="G3" s="805"/>
      <c r="H3" s="302"/>
      <c r="I3" s="302"/>
      <c r="J3" s="302"/>
      <c r="K3" s="302"/>
      <c r="L3" s="302"/>
      <c r="M3" s="302"/>
    </row>
    <row r="4" spans="1:13" ht="15.75" x14ac:dyDescent="0.25">
      <c r="C4" s="805" t="s">
        <v>1184</v>
      </c>
      <c r="D4" s="805"/>
      <c r="E4" s="805"/>
      <c r="F4" s="805"/>
      <c r="G4" s="805"/>
      <c r="H4" s="302"/>
      <c r="I4" s="302"/>
      <c r="J4" s="302"/>
      <c r="K4" s="302"/>
      <c r="L4" s="302"/>
      <c r="M4" s="302"/>
    </row>
    <row r="5" spans="1:13" ht="15.75" x14ac:dyDescent="0.25">
      <c r="C5" s="1043" t="s">
        <v>1180</v>
      </c>
      <c r="D5" s="1043"/>
      <c r="E5" s="1043"/>
      <c r="F5" s="1043"/>
      <c r="G5" s="805"/>
      <c r="H5" s="302"/>
      <c r="I5" s="302"/>
      <c r="J5" s="1042" t="s">
        <v>1185</v>
      </c>
      <c r="K5" s="1042"/>
      <c r="L5" s="1042"/>
      <c r="M5" s="302"/>
    </row>
    <row r="6" spans="1:13" ht="15.75" x14ac:dyDescent="0.25">
      <c r="C6" s="805"/>
      <c r="D6" s="805"/>
      <c r="E6" s="805"/>
      <c r="F6" s="805"/>
      <c r="G6" s="805"/>
      <c r="H6" s="302"/>
      <c r="I6" s="302"/>
      <c r="J6" s="302"/>
      <c r="K6" s="302"/>
      <c r="L6" s="302"/>
      <c r="M6" s="302"/>
    </row>
    <row r="7" spans="1:13" ht="15.75" x14ac:dyDescent="0.25">
      <c r="C7" s="805"/>
      <c r="D7" s="805"/>
      <c r="E7" s="805"/>
      <c r="F7" s="805"/>
      <c r="G7" s="805"/>
      <c r="H7" s="302"/>
      <c r="I7" s="302"/>
      <c r="J7" s="302"/>
      <c r="K7" s="302"/>
      <c r="L7" s="1042"/>
      <c r="M7" s="1042"/>
    </row>
    <row r="8" spans="1:13" ht="15.75" x14ac:dyDescent="0.25">
      <c r="C8" s="805"/>
      <c r="D8" s="805"/>
      <c r="E8" s="805"/>
      <c r="F8" s="805"/>
      <c r="G8" s="805"/>
      <c r="H8" s="302"/>
      <c r="I8" s="302"/>
      <c r="J8" s="302"/>
      <c r="K8" s="302"/>
      <c r="L8" s="302"/>
      <c r="M8" s="302"/>
    </row>
    <row r="9" spans="1:13" ht="15" x14ac:dyDescent="0.2"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</row>
    <row r="10" spans="1:13" ht="15" x14ac:dyDescent="0.2"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</row>
    <row r="11" spans="1:13" ht="15.75" x14ac:dyDescent="0.25">
      <c r="C11" s="302"/>
      <c r="D11" s="302"/>
      <c r="E11" s="302"/>
      <c r="F11" s="302"/>
      <c r="G11" s="1042"/>
      <c r="H11" s="1042"/>
      <c r="I11" s="1042"/>
      <c r="J11" s="1042"/>
      <c r="K11" s="1042"/>
      <c r="L11" s="1042"/>
      <c r="M11" s="302"/>
    </row>
    <row r="12" spans="1:13" ht="15.75" x14ac:dyDescent="0.25">
      <c r="A12" s="1042" t="s">
        <v>1191</v>
      </c>
      <c r="B12" s="1042"/>
      <c r="C12" s="1042"/>
      <c r="D12" s="1042"/>
      <c r="E12" s="1042"/>
      <c r="F12" s="1042"/>
      <c r="G12" s="1042"/>
      <c r="H12" s="1042"/>
      <c r="I12" s="1042"/>
      <c r="J12" s="1042"/>
      <c r="K12" s="1042"/>
      <c r="L12" s="1042"/>
      <c r="M12" s="1042"/>
    </row>
    <row r="13" spans="1:13" ht="15.75" x14ac:dyDescent="0.25">
      <c r="A13" s="1042" t="s">
        <v>1192</v>
      </c>
      <c r="B13" s="1042"/>
      <c r="C13" s="1042"/>
      <c r="D13" s="1042"/>
      <c r="E13" s="1042"/>
      <c r="F13" s="1042"/>
      <c r="G13" s="1042"/>
      <c r="H13" s="1042"/>
      <c r="I13" s="1042"/>
      <c r="J13" s="1042"/>
      <c r="K13" s="1042"/>
      <c r="L13" s="1042"/>
      <c r="M13" s="1042"/>
    </row>
    <row r="14" spans="1:13" ht="15.75" x14ac:dyDescent="0.25">
      <c r="C14" s="991"/>
      <c r="D14" s="991"/>
      <c r="E14" s="991"/>
      <c r="F14" s="991"/>
      <c r="G14" s="991"/>
      <c r="H14" s="991"/>
      <c r="I14" s="991"/>
      <c r="J14" s="991"/>
      <c r="K14" s="991"/>
      <c r="L14" s="991"/>
      <c r="M14" s="991"/>
    </row>
    <row r="15" spans="1:13" ht="15.75" x14ac:dyDescent="0.25">
      <c r="C15" s="991"/>
      <c r="D15" s="991"/>
      <c r="E15" s="991"/>
      <c r="F15" s="991"/>
      <c r="G15" s="991"/>
      <c r="H15" s="991"/>
      <c r="I15" s="991"/>
      <c r="J15" s="991"/>
      <c r="K15" s="991"/>
      <c r="L15" s="991"/>
      <c r="M15" s="991"/>
    </row>
    <row r="16" spans="1:13" ht="15.75" x14ac:dyDescent="0.25">
      <c r="C16" s="302"/>
      <c r="D16" s="302"/>
      <c r="E16" s="302"/>
      <c r="F16" s="302"/>
      <c r="G16" s="993"/>
      <c r="H16" s="993"/>
      <c r="I16" s="993"/>
      <c r="J16" s="993"/>
      <c r="K16" s="993"/>
      <c r="L16" s="993"/>
      <c r="M16" s="302"/>
    </row>
    <row r="17" spans="3:13" ht="15" x14ac:dyDescent="0.2">
      <c r="C17" s="302"/>
      <c r="D17" s="994" t="s">
        <v>1186</v>
      </c>
      <c r="E17" s="995"/>
      <c r="F17" s="996" t="s">
        <v>1019</v>
      </c>
      <c r="G17" s="996"/>
      <c r="H17" s="996"/>
      <c r="I17" s="996"/>
      <c r="J17" s="996"/>
      <c r="K17" s="997"/>
      <c r="L17" s="302"/>
      <c r="M17" s="302"/>
    </row>
    <row r="18" spans="3:13" ht="15" x14ac:dyDescent="0.2">
      <c r="C18" s="302"/>
      <c r="D18" s="998"/>
      <c r="E18" s="999"/>
      <c r="F18" s="999"/>
      <c r="G18" s="999"/>
      <c r="H18" s="999"/>
      <c r="I18" s="999"/>
      <c r="J18" s="999"/>
      <c r="K18" s="1000"/>
      <c r="L18" s="999"/>
      <c r="M18" s="999"/>
    </row>
    <row r="19" spans="3:13" ht="15" x14ac:dyDescent="0.2">
      <c r="C19" s="302"/>
      <c r="D19" s="1001" t="s">
        <v>1187</v>
      </c>
      <c r="E19" s="1002"/>
      <c r="F19" s="999" t="s">
        <v>1188</v>
      </c>
      <c r="G19" s="999"/>
      <c r="H19" s="999"/>
      <c r="I19" s="999"/>
      <c r="J19" s="999"/>
      <c r="K19" s="1000"/>
      <c r="L19" s="999"/>
      <c r="M19" s="999"/>
    </row>
    <row r="20" spans="3:13" ht="15" x14ac:dyDescent="0.2">
      <c r="C20" s="302"/>
      <c r="D20" s="998"/>
      <c r="E20" s="999"/>
      <c r="F20" s="999"/>
      <c r="G20" s="999"/>
      <c r="H20" s="999"/>
      <c r="I20" s="999"/>
      <c r="J20" s="999"/>
      <c r="K20" s="1000"/>
      <c r="L20" s="999"/>
      <c r="M20" s="999"/>
    </row>
    <row r="21" spans="3:13" ht="15" x14ac:dyDescent="0.2">
      <c r="C21" s="302"/>
      <c r="D21" s="1003" t="s">
        <v>1189</v>
      </c>
      <c r="E21" s="1004"/>
      <c r="F21" s="1005" t="s">
        <v>1190</v>
      </c>
      <c r="G21" s="1005"/>
      <c r="H21" s="1005"/>
      <c r="I21" s="1005"/>
      <c r="J21" s="1005"/>
      <c r="K21" s="1006"/>
      <c r="L21" s="999"/>
      <c r="M21" s="999"/>
    </row>
    <row r="22" spans="3:13" ht="15" x14ac:dyDescent="0.2">
      <c r="C22" s="302"/>
      <c r="D22" s="1002"/>
      <c r="E22" s="1002"/>
      <c r="F22" s="999"/>
      <c r="G22" s="999"/>
      <c r="H22" s="999"/>
      <c r="I22" s="999"/>
      <c r="J22" s="999"/>
      <c r="K22" s="999"/>
      <c r="L22" s="999"/>
      <c r="M22" s="999"/>
    </row>
    <row r="23" spans="3:13" ht="15" x14ac:dyDescent="0.2">
      <c r="C23" s="302"/>
      <c r="D23" s="999"/>
      <c r="E23" s="999"/>
      <c r="F23" s="999"/>
      <c r="G23" s="999"/>
      <c r="H23" s="999"/>
      <c r="I23" s="999"/>
      <c r="J23" s="999"/>
      <c r="K23" s="999"/>
      <c r="L23" s="999"/>
      <c r="M23" s="302"/>
    </row>
    <row r="24" spans="3:13" ht="15" x14ac:dyDescent="0.2"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</row>
    <row r="25" spans="3:13" ht="15" x14ac:dyDescent="0.2"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</row>
    <row r="26" spans="3:13" ht="15" x14ac:dyDescent="0.2"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</row>
    <row r="27" spans="3:13" ht="15" x14ac:dyDescent="0.2"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</row>
    <row r="28" spans="3:13" ht="15" x14ac:dyDescent="0.2">
      <c r="C28" s="1007"/>
      <c r="D28" s="1007"/>
      <c r="E28" s="1007"/>
      <c r="F28" s="1007" t="s">
        <v>1228</v>
      </c>
      <c r="G28" s="1007"/>
      <c r="H28" s="1007"/>
      <c r="I28" s="1007"/>
      <c r="J28" s="242"/>
      <c r="K28" s="242"/>
      <c r="L28" s="1007"/>
      <c r="M28" s="1007"/>
    </row>
  </sheetData>
  <mergeCells count="6">
    <mergeCell ref="A13:M13"/>
    <mergeCell ref="C5:F5"/>
    <mergeCell ref="J5:L5"/>
    <mergeCell ref="L7:M7"/>
    <mergeCell ref="G11:L11"/>
    <mergeCell ref="A12:M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0"/>
  <sheetViews>
    <sheetView showZeros="0" tabSelected="1" view="pageBreakPreview" topLeftCell="A10" zoomScale="75" zoomScaleSheetLayoutView="75" workbookViewId="0">
      <selection activeCell="C44" sqref="C44:H44"/>
    </sheetView>
  </sheetViews>
  <sheetFormatPr defaultColWidth="9.140625" defaultRowHeight="15" x14ac:dyDescent="0.2"/>
  <cols>
    <col min="1" max="1" width="4.5703125" style="6" customWidth="1"/>
    <col min="2" max="2" width="7" style="6" customWidth="1"/>
    <col min="3" max="3" width="57.42578125" style="6" customWidth="1"/>
    <col min="4" max="4" width="20" style="6" customWidth="1"/>
    <col min="5" max="5" width="16" style="6" customWidth="1"/>
    <col min="6" max="6" width="14.5703125" style="6" customWidth="1"/>
    <col min="7" max="8" width="14.140625" style="6" customWidth="1"/>
    <col min="9" max="9" width="11.5703125" style="2" bestFit="1" customWidth="1"/>
    <col min="10" max="10" width="11.85546875" style="2" customWidth="1"/>
    <col min="11" max="11" width="15.5703125" style="2" customWidth="1"/>
    <col min="12" max="16384" width="9.140625" style="2"/>
  </cols>
  <sheetData>
    <row r="1" spans="1:10" x14ac:dyDescent="0.2">
      <c r="B1" s="5" t="s">
        <v>61</v>
      </c>
      <c r="C1" s="5"/>
      <c r="D1" s="832"/>
      <c r="E1" s="832"/>
    </row>
    <row r="2" spans="1:10" x14ac:dyDescent="0.2">
      <c r="B2" s="1044" t="s">
        <v>62</v>
      </c>
      <c r="C2" s="1044"/>
      <c r="D2" s="832"/>
      <c r="E2" s="832"/>
    </row>
    <row r="3" spans="1:10" x14ac:dyDescent="0.2">
      <c r="B3" s="1044" t="s">
        <v>63</v>
      </c>
      <c r="C3" s="1044"/>
      <c r="D3" s="832"/>
      <c r="E3" s="832"/>
    </row>
    <row r="4" spans="1:10" x14ac:dyDescent="0.2">
      <c r="B4" s="1044" t="s">
        <v>142</v>
      </c>
      <c r="C4" s="1044"/>
      <c r="D4" s="832"/>
      <c r="E4" s="832"/>
      <c r="J4" s="530"/>
    </row>
    <row r="5" spans="1:10" x14ac:dyDescent="0.2">
      <c r="B5" s="6" t="s">
        <v>42</v>
      </c>
      <c r="J5" s="530"/>
    </row>
    <row r="6" spans="1:10" x14ac:dyDescent="0.2">
      <c r="B6" s="1044" t="s">
        <v>1182</v>
      </c>
      <c r="C6" s="1044"/>
      <c r="D6" s="832"/>
      <c r="E6" s="832"/>
    </row>
    <row r="7" spans="1:10" x14ac:dyDescent="0.2">
      <c r="B7" s="1044" t="s">
        <v>1183</v>
      </c>
      <c r="C7" s="1044"/>
      <c r="D7" s="832"/>
      <c r="E7" s="832"/>
    </row>
    <row r="8" spans="1:10" ht="7.5" customHeight="1" x14ac:dyDescent="0.2"/>
    <row r="9" spans="1:10" ht="58.5" customHeight="1" x14ac:dyDescent="0.2">
      <c r="B9" s="1051" t="s">
        <v>1230</v>
      </c>
      <c r="C9" s="1051"/>
      <c r="D9" s="1051"/>
      <c r="E9" s="1051"/>
      <c r="F9" s="1051"/>
      <c r="G9" s="1051"/>
      <c r="H9" s="1051"/>
      <c r="I9" s="663"/>
      <c r="J9" s="568"/>
    </row>
    <row r="10" spans="1:10" ht="10.5" customHeight="1" x14ac:dyDescent="0.2">
      <c r="B10" s="237"/>
      <c r="C10" s="237"/>
      <c r="D10" s="237"/>
      <c r="E10" s="237"/>
      <c r="F10" s="237"/>
      <c r="G10" s="237"/>
      <c r="H10" s="237"/>
    </row>
    <row r="11" spans="1:10" ht="15" customHeight="1" x14ac:dyDescent="0.25">
      <c r="A11" s="1042" t="s">
        <v>943</v>
      </c>
      <c r="B11" s="1042"/>
      <c r="C11" s="1042"/>
      <c r="D11" s="1042"/>
      <c r="E11" s="1042"/>
      <c r="F11" s="1042"/>
      <c r="G11" s="1042"/>
      <c r="H11" s="1042"/>
      <c r="I11" s="664"/>
      <c r="J11" s="664"/>
    </row>
    <row r="12" spans="1:10" ht="15" customHeight="1" x14ac:dyDescent="0.25">
      <c r="A12" s="1043" t="s">
        <v>1261</v>
      </c>
      <c r="B12" s="1043"/>
      <c r="C12" s="1043"/>
      <c r="D12" s="1043"/>
      <c r="E12" s="1043"/>
      <c r="F12" s="1043"/>
      <c r="G12" s="1043"/>
      <c r="H12" s="1043"/>
      <c r="I12" s="664"/>
      <c r="J12" s="673"/>
    </row>
    <row r="13" spans="1:10" ht="15" customHeight="1" x14ac:dyDescent="0.25">
      <c r="A13" s="1033"/>
      <c r="B13" s="1034" t="s">
        <v>1247</v>
      </c>
      <c r="C13" s="1033"/>
      <c r="D13" s="1033" t="s">
        <v>1252</v>
      </c>
      <c r="E13" s="1033"/>
      <c r="F13" s="1033"/>
      <c r="G13" s="1033"/>
      <c r="H13" s="1033"/>
      <c r="I13" s="664"/>
      <c r="J13" s="673"/>
    </row>
    <row r="14" spans="1:10" ht="15" customHeight="1" x14ac:dyDescent="0.25">
      <c r="A14" s="1033"/>
      <c r="B14" s="664" t="s">
        <v>1248</v>
      </c>
      <c r="C14" s="1033"/>
      <c r="D14" s="1034" t="s">
        <v>1253</v>
      </c>
      <c r="E14" s="1033"/>
      <c r="F14" s="1036">
        <v>4897705</v>
      </c>
      <c r="G14" s="1036"/>
      <c r="H14" s="1033"/>
      <c r="I14" s="664"/>
      <c r="J14" s="673"/>
    </row>
    <row r="15" spans="1:10" ht="15" customHeight="1" x14ac:dyDescent="0.25">
      <c r="A15" s="1033"/>
      <c r="B15" s="664" t="s">
        <v>1250</v>
      </c>
      <c r="C15" s="1033"/>
      <c r="D15" s="1034" t="s">
        <v>1254</v>
      </c>
      <c r="E15" s="1033"/>
      <c r="F15" s="1036">
        <v>4355765</v>
      </c>
      <c r="G15" s="1036"/>
      <c r="H15" s="1033"/>
      <c r="I15" s="664"/>
      <c r="J15" s="673"/>
    </row>
    <row r="16" spans="1:10" ht="15" customHeight="1" x14ac:dyDescent="0.25">
      <c r="A16" s="1033"/>
      <c r="B16" s="664" t="s">
        <v>1249</v>
      </c>
      <c r="C16" s="1033"/>
      <c r="D16" s="1034" t="s">
        <v>1255</v>
      </c>
      <c r="E16" s="1033"/>
      <c r="F16" s="1036">
        <v>4223731</v>
      </c>
      <c r="G16" s="1036"/>
      <c r="H16" s="1033"/>
      <c r="I16" s="664"/>
      <c r="J16" s="673"/>
    </row>
    <row r="17" spans="1:11" ht="15" customHeight="1" x14ac:dyDescent="0.25">
      <c r="A17" s="1033"/>
      <c r="B17" s="1037" t="s">
        <v>1251</v>
      </c>
      <c r="C17" s="1033"/>
      <c r="D17" s="1034" t="s">
        <v>1256</v>
      </c>
      <c r="E17" s="1033"/>
      <c r="F17" s="1036">
        <v>1178512</v>
      </c>
      <c r="G17" s="1036"/>
      <c r="H17" s="1033"/>
      <c r="I17" s="664"/>
      <c r="J17" s="673"/>
    </row>
    <row r="18" spans="1:11" ht="18" customHeight="1" x14ac:dyDescent="0.25">
      <c r="A18" s="670"/>
      <c r="B18" s="664" t="s">
        <v>1260</v>
      </c>
      <c r="C18" s="670"/>
      <c r="D18" s="1034" t="s">
        <v>1257</v>
      </c>
      <c r="E18" s="831"/>
      <c r="F18" s="1036">
        <v>11629503</v>
      </c>
      <c r="G18" s="1036"/>
      <c r="H18" s="670"/>
      <c r="I18" s="664"/>
      <c r="J18" s="673"/>
    </row>
    <row r="19" spans="1:11" ht="18" customHeight="1" x14ac:dyDescent="0.25">
      <c r="A19" s="1033"/>
      <c r="B19" s="664"/>
      <c r="C19" s="1033"/>
      <c r="D19" s="1034" t="s">
        <v>1258</v>
      </c>
      <c r="E19" s="1033"/>
      <c r="F19" s="1036">
        <v>60000</v>
      </c>
      <c r="G19" s="1036"/>
      <c r="H19" s="1033"/>
      <c r="I19" s="664"/>
      <c r="J19" s="673"/>
    </row>
    <row r="20" spans="1:11" ht="18" customHeight="1" x14ac:dyDescent="0.25">
      <c r="A20" s="1033"/>
      <c r="B20" s="664"/>
      <c r="C20" s="1033"/>
      <c r="D20" s="1038" t="s">
        <v>1262</v>
      </c>
      <c r="E20" s="1039"/>
      <c r="F20" s="1040">
        <f>296000+41150</f>
        <v>337150</v>
      </c>
      <c r="G20" s="1041"/>
      <c r="H20" s="1033"/>
      <c r="I20" s="664"/>
      <c r="J20" s="673"/>
    </row>
    <row r="21" spans="1:11" ht="18" customHeight="1" x14ac:dyDescent="0.25">
      <c r="A21" s="1033"/>
      <c r="B21" s="664"/>
      <c r="C21" s="1033"/>
      <c r="D21" s="1034" t="s">
        <v>1259</v>
      </c>
      <c r="E21" s="1033"/>
      <c r="F21" s="1036">
        <f>SUM(F14:F20)</f>
        <v>26682366</v>
      </c>
      <c r="G21" s="1035"/>
      <c r="H21" s="1035"/>
      <c r="I21" s="664"/>
      <c r="J21" s="673"/>
    </row>
    <row r="22" spans="1:11" ht="5.25" customHeight="1" x14ac:dyDescent="0.25">
      <c r="A22" s="1033"/>
      <c r="B22" s="664"/>
      <c r="C22" s="1033"/>
      <c r="D22" s="1034"/>
      <c r="E22" s="1033"/>
      <c r="F22" s="1036"/>
      <c r="G22" s="1035"/>
      <c r="H22" s="1035"/>
      <c r="I22" s="664"/>
      <c r="J22" s="673"/>
    </row>
    <row r="23" spans="1:11" ht="14.25" customHeight="1" x14ac:dyDescent="0.25">
      <c r="A23" s="1042" t="s">
        <v>562</v>
      </c>
      <c r="B23" s="1042"/>
      <c r="C23" s="1042"/>
      <c r="D23" s="1042"/>
      <c r="E23" s="1042"/>
      <c r="F23" s="1042"/>
      <c r="G23" s="1042"/>
      <c r="H23" s="1042"/>
      <c r="I23" s="664"/>
      <c r="J23" s="664"/>
    </row>
    <row r="24" spans="1:11" ht="3.75" customHeight="1" x14ac:dyDescent="0.25">
      <c r="A24" s="670"/>
      <c r="B24" s="670"/>
      <c r="F24" s="664"/>
      <c r="G24" s="664"/>
      <c r="H24" s="664"/>
      <c r="I24" s="664"/>
      <c r="J24" s="664"/>
    </row>
    <row r="25" spans="1:11" ht="16.5" customHeight="1" x14ac:dyDescent="0.25">
      <c r="B25" s="992"/>
      <c r="C25" s="1047" t="s">
        <v>1078</v>
      </c>
      <c r="D25" s="1047"/>
      <c r="E25" s="1047"/>
      <c r="F25" s="1047"/>
      <c r="G25" s="1047"/>
      <c r="H25" s="1047"/>
      <c r="I25" s="670"/>
      <c r="J25" s="670"/>
    </row>
    <row r="26" spans="1:11" ht="12.75" customHeight="1" x14ac:dyDescent="0.25">
      <c r="B26" s="1"/>
      <c r="C26" s="1"/>
      <c r="D26" s="302"/>
      <c r="E26" s="302"/>
      <c r="F26" s="8"/>
      <c r="G26" s="8"/>
      <c r="H26" s="302" t="s">
        <v>393</v>
      </c>
    </row>
    <row r="27" spans="1:11" ht="30" customHeight="1" x14ac:dyDescent="0.25">
      <c r="B27" s="76" t="s">
        <v>190</v>
      </c>
      <c r="C27" s="1045" t="s">
        <v>106</v>
      </c>
      <c r="D27" s="26" t="s">
        <v>955</v>
      </c>
      <c r="E27" s="26" t="s">
        <v>262</v>
      </c>
      <c r="F27" s="26" t="s">
        <v>262</v>
      </c>
      <c r="G27" s="1049" t="s">
        <v>72</v>
      </c>
      <c r="H27" s="1050"/>
      <c r="J27" s="76" t="s">
        <v>104</v>
      </c>
      <c r="K27" s="76" t="s">
        <v>11</v>
      </c>
    </row>
    <row r="28" spans="1:11" ht="30" customHeight="1" x14ac:dyDescent="0.25">
      <c r="B28" s="164" t="s">
        <v>191</v>
      </c>
      <c r="C28" s="1046"/>
      <c r="D28" s="238" t="s">
        <v>956</v>
      </c>
      <c r="E28" s="238" t="s">
        <v>957</v>
      </c>
      <c r="F28" s="238" t="s">
        <v>941</v>
      </c>
      <c r="G28" s="170" t="s">
        <v>546</v>
      </c>
      <c r="H28" s="170" t="s">
        <v>914</v>
      </c>
      <c r="J28" s="238" t="s">
        <v>189</v>
      </c>
      <c r="K28" s="238" t="s">
        <v>534</v>
      </c>
    </row>
    <row r="29" spans="1:11" ht="12.75" customHeight="1" x14ac:dyDescent="0.2">
      <c r="B29" s="54">
        <v>1</v>
      </c>
      <c r="C29" s="54">
        <v>2</v>
      </c>
      <c r="D29" s="54">
        <v>3</v>
      </c>
      <c r="E29" s="54">
        <v>4</v>
      </c>
      <c r="F29" s="54">
        <v>5</v>
      </c>
      <c r="G29" s="54">
        <v>6</v>
      </c>
      <c r="H29" s="54">
        <v>7</v>
      </c>
      <c r="J29" s="54">
        <v>7</v>
      </c>
      <c r="K29" s="54">
        <v>6</v>
      </c>
    </row>
    <row r="30" spans="1:11" x14ac:dyDescent="0.2">
      <c r="B30" s="239">
        <v>1</v>
      </c>
      <c r="C30" s="240" t="s">
        <v>265</v>
      </c>
      <c r="D30" s="241">
        <f>PRIMICI!C12</f>
        <v>13748280</v>
      </c>
      <c r="E30" s="241">
        <f>PRIMICI!D12</f>
        <v>17848563</v>
      </c>
      <c r="F30" s="241">
        <f>PRIMICI!I12</f>
        <v>20253537</v>
      </c>
      <c r="G30" s="241">
        <f>PRIMICI!J12</f>
        <v>18293036</v>
      </c>
      <c r="H30" s="241">
        <f>PRIMICI!K12</f>
        <v>17978672</v>
      </c>
      <c r="J30" s="241" t="e">
        <f>K30/#REF!*100</f>
        <v>#REF!</v>
      </c>
      <c r="K30" s="241" t="e">
        <f>PRIMICI!#REF!</f>
        <v>#REF!</v>
      </c>
    </row>
    <row r="31" spans="1:11" x14ac:dyDescent="0.2">
      <c r="B31" s="337">
        <v>2</v>
      </c>
      <c r="C31" s="338" t="s">
        <v>266</v>
      </c>
      <c r="D31" s="339">
        <f>'Izdaci '!C10</f>
        <v>10944532.5</v>
      </c>
      <c r="E31" s="339">
        <f>'Izdaci '!D10</f>
        <v>13514546.270000001</v>
      </c>
      <c r="F31" s="339">
        <f>'Izdaci '!I10</f>
        <v>14756864.530000001</v>
      </c>
      <c r="G31" s="339">
        <f>'Izdaci '!J10</f>
        <v>13978822.449999999</v>
      </c>
      <c r="H31" s="339">
        <f>'Izdaci '!K10</f>
        <v>14247172.449999999</v>
      </c>
      <c r="J31" s="241" t="e">
        <f>K31/#REF!*100</f>
        <v>#REF!</v>
      </c>
      <c r="K31" s="339" t="e">
        <f>'Izdaci '!#REF!+'Izdaci '!#REF!-'Izdaci '!#REF!</f>
        <v>#REF!</v>
      </c>
    </row>
    <row r="32" spans="1:11" x14ac:dyDescent="0.2">
      <c r="B32" s="340">
        <v>3</v>
      </c>
      <c r="C32" s="341" t="s">
        <v>267</v>
      </c>
      <c r="D32" s="342">
        <f>D30-D31+1</f>
        <v>2803748.5</v>
      </c>
      <c r="E32" s="342">
        <f>E30-E31+1</f>
        <v>4334017.7299999986</v>
      </c>
      <c r="F32" s="342">
        <f>F30-F31</f>
        <v>5496672.4699999988</v>
      </c>
      <c r="G32" s="342">
        <f>G30-G31</f>
        <v>4314213.5500000007</v>
      </c>
      <c r="H32" s="342">
        <f>H30-H31</f>
        <v>3731499.5500000007</v>
      </c>
      <c r="J32" s="344" t="e">
        <f>K32/#REF!*100</f>
        <v>#REF!</v>
      </c>
      <c r="K32" s="342" t="e">
        <f>K30-K31</f>
        <v>#REF!</v>
      </c>
    </row>
    <row r="33" spans="1:11" x14ac:dyDescent="0.2">
      <c r="B33" s="239">
        <v>4</v>
      </c>
      <c r="C33" s="240" t="s">
        <v>268</v>
      </c>
      <c r="D33" s="241">
        <f>PRIMICI!C136</f>
        <v>190631</v>
      </c>
      <c r="E33" s="241">
        <f>PRIMICI!D136</f>
        <v>510000</v>
      </c>
      <c r="F33" s="241">
        <f>PRIMICI!I136</f>
        <v>510000</v>
      </c>
      <c r="G33" s="241">
        <f>PRIMICI!J136</f>
        <v>300000</v>
      </c>
      <c r="H33" s="241">
        <f>PRIMICI!K136</f>
        <v>300000</v>
      </c>
      <c r="J33" s="241" t="e">
        <f>K33/#REF!*100</f>
        <v>#REF!</v>
      </c>
      <c r="K33" s="241" t="e">
        <f>PRIMICI!#REF!</f>
        <v>#REF!</v>
      </c>
    </row>
    <row r="34" spans="1:11" x14ac:dyDescent="0.2">
      <c r="B34" s="337">
        <v>5</v>
      </c>
      <c r="C34" s="338" t="s">
        <v>269</v>
      </c>
      <c r="D34" s="339">
        <f>'Izdaci '!C116</f>
        <v>3792794</v>
      </c>
      <c r="E34" s="339">
        <f>'Izdaci '!D116</f>
        <v>9556339</v>
      </c>
      <c r="F34" s="339">
        <f>'Izdaci '!I116</f>
        <v>11629502.98</v>
      </c>
      <c r="G34" s="339">
        <f>'Izdaci '!J116</f>
        <v>7539082</v>
      </c>
      <c r="H34" s="339">
        <f>'Izdaci '!K116</f>
        <v>5049000</v>
      </c>
      <c r="I34" s="9"/>
      <c r="J34" s="241" t="e">
        <f>K34/#REF!*100</f>
        <v>#REF!</v>
      </c>
      <c r="K34" s="339" t="e">
        <f>'Izdaci '!#REF!-'Izdaci '!#REF!</f>
        <v>#REF!</v>
      </c>
    </row>
    <row r="35" spans="1:11" ht="15.75" customHeight="1" x14ac:dyDescent="0.2">
      <c r="B35" s="239">
        <v>6</v>
      </c>
      <c r="C35" s="310" t="s">
        <v>270</v>
      </c>
      <c r="D35" s="110">
        <f t="shared" ref="D35:E35" si="0">D34-D33</f>
        <v>3602163</v>
      </c>
      <c r="E35" s="110">
        <f t="shared" si="0"/>
        <v>9046339</v>
      </c>
      <c r="F35" s="110">
        <f t="shared" ref="F35:H35" si="1">F34-F33</f>
        <v>11119502.98</v>
      </c>
      <c r="G35" s="110">
        <f t="shared" si="1"/>
        <v>7239082</v>
      </c>
      <c r="H35" s="110">
        <f t="shared" si="1"/>
        <v>4749000</v>
      </c>
      <c r="J35" s="241" t="e">
        <f>K35/#REF!*100</f>
        <v>#REF!</v>
      </c>
      <c r="K35" s="110" t="e">
        <f>K34-K33</f>
        <v>#REF!</v>
      </c>
    </row>
    <row r="36" spans="1:11" ht="30" customHeight="1" x14ac:dyDescent="0.25">
      <c r="B36" s="287">
        <v>7</v>
      </c>
      <c r="C36" s="343" t="s">
        <v>271</v>
      </c>
      <c r="D36" s="344">
        <f t="shared" ref="D36:E36" si="2">D32-D35</f>
        <v>-798414.5</v>
      </c>
      <c r="E36" s="344">
        <f t="shared" si="2"/>
        <v>-4712321.2700000014</v>
      </c>
      <c r="F36" s="344">
        <f t="shared" ref="F36:H36" si="3">F32-F35</f>
        <v>-5622830.5100000016</v>
      </c>
      <c r="G36" s="344">
        <f t="shared" si="3"/>
        <v>-2924868.4499999993</v>
      </c>
      <c r="H36" s="344">
        <f t="shared" si="3"/>
        <v>-1017500.4499999993</v>
      </c>
      <c r="J36" s="344" t="e">
        <f>K36/#REF!*100</f>
        <v>#REF!</v>
      </c>
      <c r="K36" s="344" t="e">
        <f>K32-K35</f>
        <v>#REF!</v>
      </c>
    </row>
    <row r="37" spans="1:11" x14ac:dyDescent="0.2">
      <c r="B37" s="239">
        <v>8</v>
      </c>
      <c r="C37" s="311" t="s">
        <v>272</v>
      </c>
      <c r="D37" s="312">
        <f>PRIMICI!C140+PRIMICI!C139</f>
        <v>1050000</v>
      </c>
      <c r="E37" s="312">
        <f>PRIMICI!D140+PRIMICI!D139</f>
        <v>2385988</v>
      </c>
      <c r="F37" s="312">
        <f>PRIMICI!I140+PRIMICI!I139</f>
        <v>2633556</v>
      </c>
      <c r="G37" s="312">
        <f>PRIMICI!J140+PRIMICI!J139</f>
        <v>2417368</v>
      </c>
      <c r="H37" s="312">
        <f>PRIMICI!K140+PRIMICI!K139</f>
        <v>610000</v>
      </c>
      <c r="J37" s="241"/>
      <c r="K37" s="312" t="e">
        <f>PRIMICI!#REF!+PRIMICI!#REF!</f>
        <v>#REF!</v>
      </c>
    </row>
    <row r="38" spans="1:11" ht="12.75" customHeight="1" x14ac:dyDescent="0.2">
      <c r="B38" s="239">
        <v>9</v>
      </c>
      <c r="C38" s="311" t="s">
        <v>273</v>
      </c>
      <c r="D38" s="312">
        <f>'Izdaci '!C145+'Izdaci '!C144</f>
        <v>87500</v>
      </c>
      <c r="E38" s="312">
        <f>'Izdaci '!D145+'Izdaci '!D144</f>
        <v>296000</v>
      </c>
      <c r="F38" s="312">
        <f>'Izdaci '!I145+'Izdaci '!I144</f>
        <v>296000</v>
      </c>
      <c r="G38" s="312">
        <f>'Izdaci '!J145+'Izdaci '!J144</f>
        <v>376000</v>
      </c>
      <c r="H38" s="312">
        <f>'Izdaci '!K145+'Izdaci '!K144</f>
        <v>476000</v>
      </c>
      <c r="J38" s="241" t="e">
        <f>K38/#REF!*100</f>
        <v>#REF!</v>
      </c>
      <c r="K38" s="312" t="e">
        <f>'Izdaci '!#REF!+'Izdaci '!#REF!</f>
        <v>#REF!</v>
      </c>
    </row>
    <row r="39" spans="1:11" ht="29.25" customHeight="1" x14ac:dyDescent="0.2">
      <c r="B39" s="287">
        <v>10</v>
      </c>
      <c r="C39" s="343" t="s">
        <v>274</v>
      </c>
      <c r="D39" s="344">
        <f>D37-D38</f>
        <v>962500</v>
      </c>
      <c r="E39" s="344">
        <f>E37-E38</f>
        <v>2089988</v>
      </c>
      <c r="F39" s="344">
        <f>F37-F38</f>
        <v>2337556</v>
      </c>
      <c r="G39" s="344">
        <f t="shared" ref="G39:H39" si="4">G37-G38</f>
        <v>2041368</v>
      </c>
      <c r="H39" s="344">
        <f t="shared" si="4"/>
        <v>134000</v>
      </c>
      <c r="J39" s="344" t="e">
        <f>K39/#REF!*100</f>
        <v>#REF!</v>
      </c>
      <c r="K39" s="344" t="e">
        <f>K37-K38</f>
        <v>#REF!</v>
      </c>
    </row>
    <row r="40" spans="1:11" x14ac:dyDescent="0.2">
      <c r="B40" s="287">
        <v>11</v>
      </c>
      <c r="C40" s="343" t="s">
        <v>275</v>
      </c>
      <c r="D40" s="344">
        <f t="shared" ref="D40:E40" si="5">D36+D39</f>
        <v>164085.5</v>
      </c>
      <c r="E40" s="344">
        <f t="shared" si="5"/>
        <v>-2622333.2700000014</v>
      </c>
      <c r="F40" s="344">
        <f t="shared" ref="F40:H40" si="6">F36+F39</f>
        <v>-3285274.5100000016</v>
      </c>
      <c r="G40" s="344">
        <f t="shared" si="6"/>
        <v>-883500.44999999925</v>
      </c>
      <c r="H40" s="344">
        <f t="shared" si="6"/>
        <v>-883500.44999999925</v>
      </c>
      <c r="J40" s="344"/>
      <c r="K40" s="344" t="e">
        <f>K36+K39</f>
        <v>#REF!</v>
      </c>
    </row>
    <row r="41" spans="1:11" ht="46.5" customHeight="1" x14ac:dyDescent="0.2">
      <c r="B41" s="239">
        <v>12</v>
      </c>
      <c r="C41" s="641" t="s">
        <v>942</v>
      </c>
      <c r="D41" s="633">
        <f>PRIMICI!C142</f>
        <v>0</v>
      </c>
      <c r="E41" s="633">
        <f>PRIMICI!D142</f>
        <v>2622335</v>
      </c>
      <c r="F41" s="633">
        <f>PRIMICI!I142</f>
        <v>3285274.68</v>
      </c>
      <c r="G41" s="633">
        <f>PRIMICI!J142</f>
        <v>883500</v>
      </c>
      <c r="H41" s="633">
        <f>PRIMICI!K142</f>
        <v>883500</v>
      </c>
      <c r="I41" s="9">
        <f>H40+H41</f>
        <v>-0.44999999925494194</v>
      </c>
      <c r="J41" s="634"/>
      <c r="K41" s="633"/>
    </row>
    <row r="42" spans="1:11" ht="13.5" customHeight="1" x14ac:dyDescent="0.25">
      <c r="A42" s="1042" t="s">
        <v>563</v>
      </c>
      <c r="B42" s="1042"/>
      <c r="C42" s="1042"/>
      <c r="D42" s="1042"/>
      <c r="E42" s="1042"/>
      <c r="F42" s="1042"/>
      <c r="G42" s="1042"/>
      <c r="H42" s="1042"/>
      <c r="I42" s="664"/>
      <c r="J42" s="9">
        <f>F40+F41</f>
        <v>0.16999999852851033</v>
      </c>
    </row>
    <row r="43" spans="1:11" ht="3.75" customHeight="1" x14ac:dyDescent="0.2">
      <c r="C43" s="302"/>
      <c r="D43" s="302"/>
      <c r="E43" s="302"/>
      <c r="F43" s="1048"/>
      <c r="G43" s="1048"/>
      <c r="H43" s="1048"/>
      <c r="I43" s="1048"/>
    </row>
    <row r="44" spans="1:11" ht="34.5" customHeight="1" x14ac:dyDescent="0.2">
      <c r="B44" s="242"/>
      <c r="C44" s="1085" t="s">
        <v>1176</v>
      </c>
      <c r="D44" s="1085"/>
      <c r="E44" s="1085"/>
      <c r="F44" s="1085"/>
      <c r="G44" s="1085"/>
      <c r="H44" s="1085"/>
      <c r="I44" s="242"/>
    </row>
    <row r="55" ht="31.5" customHeight="1" x14ac:dyDescent="0.2"/>
    <row r="73" spans="2:8" x14ac:dyDescent="0.2">
      <c r="B73" s="4"/>
      <c r="C73" s="5"/>
      <c r="D73" s="832"/>
      <c r="E73" s="832"/>
      <c r="F73" s="5"/>
      <c r="G73" s="5"/>
      <c r="H73" s="5"/>
    </row>
    <row r="74" spans="2:8" x14ac:dyDescent="0.2">
      <c r="B74" s="4"/>
      <c r="C74" s="5"/>
      <c r="D74" s="832"/>
      <c r="E74" s="832"/>
      <c r="F74" s="5"/>
      <c r="G74" s="5"/>
      <c r="H74" s="5"/>
    </row>
    <row r="75" spans="2:8" x14ac:dyDescent="0.2">
      <c r="B75" s="4"/>
      <c r="C75" s="5"/>
      <c r="D75" s="832"/>
      <c r="E75" s="832"/>
      <c r="F75" s="5"/>
      <c r="G75" s="5"/>
      <c r="H75" s="5"/>
    </row>
    <row r="76" spans="2:8" x14ac:dyDescent="0.2">
      <c r="B76" s="4"/>
      <c r="C76" s="5"/>
      <c r="D76" s="832"/>
      <c r="E76" s="832"/>
      <c r="F76" s="5"/>
      <c r="G76" s="5"/>
      <c r="H76" s="5"/>
    </row>
    <row r="77" spans="2:8" x14ac:dyDescent="0.2">
      <c r="B77" s="4"/>
      <c r="C77" s="5"/>
      <c r="D77" s="832"/>
      <c r="E77" s="832"/>
      <c r="F77" s="5"/>
      <c r="G77" s="5"/>
      <c r="H77" s="5"/>
    </row>
    <row r="78" spans="2:8" x14ac:dyDescent="0.2">
      <c r="B78" s="4"/>
      <c r="C78" s="5"/>
      <c r="D78" s="832"/>
      <c r="E78" s="832"/>
      <c r="F78" s="5"/>
      <c r="G78" s="5"/>
      <c r="H78" s="5"/>
    </row>
    <row r="79" spans="2:8" x14ac:dyDescent="0.2">
      <c r="B79" s="4"/>
      <c r="C79" s="5"/>
      <c r="D79" s="832"/>
      <c r="E79" s="832"/>
      <c r="F79" s="5"/>
      <c r="G79" s="5"/>
      <c r="H79" s="5"/>
    </row>
    <row r="80" spans="2:8" x14ac:dyDescent="0.2">
      <c r="B80" s="4"/>
      <c r="C80" s="5"/>
      <c r="D80" s="832"/>
      <c r="E80" s="832"/>
      <c r="F80" s="5"/>
      <c r="G80" s="5"/>
      <c r="H80" s="5"/>
    </row>
    <row r="81" spans="2:8" x14ac:dyDescent="0.2">
      <c r="B81" s="4"/>
      <c r="C81" s="5"/>
      <c r="D81" s="832"/>
      <c r="E81" s="832"/>
      <c r="F81" s="7"/>
      <c r="G81" s="7"/>
      <c r="H81" s="5"/>
    </row>
    <row r="82" spans="2:8" x14ac:dyDescent="0.2">
      <c r="B82" s="4"/>
      <c r="C82" s="5"/>
      <c r="D82" s="832"/>
      <c r="E82" s="832"/>
      <c r="F82" s="5"/>
      <c r="G82" s="5"/>
      <c r="H82" s="5"/>
    </row>
    <row r="83" spans="2:8" x14ac:dyDescent="0.2">
      <c r="B83" s="4"/>
      <c r="C83" s="5"/>
      <c r="D83" s="832"/>
      <c r="E83" s="832"/>
      <c r="F83" s="5"/>
      <c r="G83" s="5"/>
      <c r="H83" s="5"/>
    </row>
    <row r="84" spans="2:8" x14ac:dyDescent="0.2">
      <c r="B84" s="4"/>
      <c r="C84" s="5"/>
      <c r="D84" s="832"/>
      <c r="E84" s="832"/>
      <c r="F84" s="5"/>
      <c r="G84" s="5"/>
      <c r="H84" s="5"/>
    </row>
    <row r="85" spans="2:8" x14ac:dyDescent="0.2">
      <c r="B85" s="4"/>
      <c r="C85" s="5"/>
      <c r="D85" s="832"/>
      <c r="E85" s="832"/>
      <c r="F85" s="5"/>
      <c r="G85" s="5"/>
      <c r="H85" s="5"/>
    </row>
    <row r="86" spans="2:8" x14ac:dyDescent="0.2">
      <c r="B86" s="4"/>
      <c r="C86" s="5"/>
      <c r="D86" s="832"/>
      <c r="E86" s="832"/>
      <c r="F86" s="5"/>
      <c r="G86" s="5"/>
      <c r="H86" s="5"/>
    </row>
    <row r="87" spans="2:8" x14ac:dyDescent="0.2">
      <c r="B87" s="4"/>
      <c r="C87" s="5"/>
      <c r="D87" s="832"/>
      <c r="E87" s="832"/>
      <c r="F87" s="5"/>
      <c r="G87" s="5"/>
      <c r="H87" s="5"/>
    </row>
    <row r="88" spans="2:8" x14ac:dyDescent="0.2">
      <c r="B88" s="4"/>
      <c r="C88" s="5"/>
      <c r="D88" s="832"/>
      <c r="E88" s="832"/>
      <c r="F88" s="5"/>
      <c r="G88" s="5"/>
      <c r="H88" s="5"/>
    </row>
    <row r="89" spans="2:8" x14ac:dyDescent="0.2">
      <c r="B89" s="4"/>
      <c r="C89" s="5"/>
      <c r="D89" s="832"/>
      <c r="E89" s="832"/>
      <c r="F89" s="5"/>
      <c r="G89" s="5"/>
      <c r="H89" s="5"/>
    </row>
    <row r="90" spans="2:8" x14ac:dyDescent="0.2">
      <c r="B90" s="4"/>
      <c r="C90" s="5"/>
      <c r="D90" s="832"/>
      <c r="E90" s="832"/>
      <c r="F90" s="5"/>
      <c r="G90" s="5"/>
      <c r="H90" s="5"/>
    </row>
    <row r="91" spans="2:8" x14ac:dyDescent="0.2">
      <c r="B91" s="4"/>
      <c r="C91" s="5"/>
      <c r="D91" s="832"/>
      <c r="E91" s="832"/>
      <c r="F91" s="5"/>
      <c r="G91" s="5"/>
      <c r="H91" s="5"/>
    </row>
    <row r="92" spans="2:8" x14ac:dyDescent="0.2">
      <c r="B92" s="4"/>
      <c r="C92" s="5"/>
      <c r="D92" s="832"/>
      <c r="E92" s="832"/>
      <c r="F92" s="5"/>
      <c r="G92" s="5"/>
      <c r="H92" s="5"/>
    </row>
    <row r="93" spans="2:8" x14ac:dyDescent="0.2">
      <c r="B93" s="4"/>
      <c r="C93" s="5"/>
      <c r="D93" s="832"/>
      <c r="E93" s="832"/>
      <c r="F93" s="5"/>
      <c r="G93" s="5"/>
      <c r="H93" s="5"/>
    </row>
    <row r="94" spans="2:8" x14ac:dyDescent="0.2">
      <c r="B94" s="4"/>
      <c r="C94" s="5"/>
      <c r="D94" s="832"/>
      <c r="E94" s="832"/>
      <c r="F94" s="5"/>
      <c r="G94" s="5"/>
      <c r="H94" s="5"/>
    </row>
    <row r="95" spans="2:8" x14ac:dyDescent="0.2">
      <c r="B95" s="4"/>
      <c r="C95" s="5"/>
      <c r="D95" s="832"/>
      <c r="E95" s="832"/>
      <c r="F95" s="5"/>
      <c r="G95" s="5"/>
      <c r="H95" s="5"/>
    </row>
    <row r="96" spans="2:8" x14ac:dyDescent="0.2">
      <c r="B96" s="4"/>
      <c r="C96" s="5"/>
      <c r="D96" s="832"/>
      <c r="E96" s="832"/>
      <c r="F96" s="5"/>
      <c r="G96" s="5"/>
      <c r="H96" s="5"/>
    </row>
    <row r="97" spans="2:8" x14ac:dyDescent="0.2">
      <c r="B97" s="4"/>
      <c r="C97" s="5"/>
      <c r="D97" s="832"/>
      <c r="E97" s="832"/>
      <c r="F97" s="5"/>
      <c r="G97" s="5"/>
      <c r="H97" s="5"/>
    </row>
    <row r="98" spans="2:8" x14ac:dyDescent="0.2">
      <c r="B98" s="4"/>
      <c r="C98" s="5"/>
      <c r="D98" s="832"/>
      <c r="E98" s="832"/>
      <c r="F98" s="5"/>
      <c r="G98" s="5"/>
      <c r="H98" s="5"/>
    </row>
    <row r="99" spans="2:8" x14ac:dyDescent="0.2">
      <c r="B99" s="4"/>
      <c r="C99" s="5"/>
      <c r="D99" s="832"/>
      <c r="E99" s="832"/>
      <c r="F99" s="5"/>
      <c r="G99" s="5"/>
      <c r="H99" s="5"/>
    </row>
    <row r="100" spans="2:8" x14ac:dyDescent="0.2">
      <c r="B100" s="4"/>
      <c r="C100" s="5"/>
      <c r="D100" s="832"/>
      <c r="E100" s="832"/>
      <c r="F100" s="5"/>
      <c r="G100" s="5"/>
      <c r="H100" s="5"/>
    </row>
    <row r="101" spans="2:8" x14ac:dyDescent="0.2">
      <c r="B101" s="4"/>
      <c r="C101" s="5"/>
      <c r="D101" s="832"/>
      <c r="E101" s="832"/>
      <c r="F101" s="5"/>
      <c r="G101" s="5"/>
      <c r="H101" s="5"/>
    </row>
    <row r="102" spans="2:8" x14ac:dyDescent="0.2">
      <c r="B102" s="4"/>
      <c r="C102" s="5"/>
      <c r="D102" s="832"/>
      <c r="E102" s="832"/>
      <c r="F102" s="5"/>
      <c r="G102" s="5"/>
      <c r="H102" s="5"/>
    </row>
    <row r="103" spans="2:8" x14ac:dyDescent="0.2">
      <c r="B103" s="4"/>
      <c r="C103" s="5"/>
      <c r="D103" s="832"/>
      <c r="E103" s="832"/>
      <c r="F103" s="5"/>
      <c r="G103" s="5"/>
      <c r="H103" s="5"/>
    </row>
    <row r="104" spans="2:8" x14ac:dyDescent="0.2">
      <c r="B104" s="4"/>
      <c r="C104" s="5"/>
      <c r="D104" s="832"/>
      <c r="E104" s="832"/>
      <c r="F104" s="5"/>
      <c r="G104" s="5"/>
      <c r="H104" s="5"/>
    </row>
    <row r="105" spans="2:8" x14ac:dyDescent="0.2">
      <c r="B105" s="4"/>
      <c r="C105" s="5"/>
      <c r="D105" s="832"/>
      <c r="E105" s="832"/>
      <c r="F105" s="5"/>
      <c r="G105" s="5"/>
      <c r="H105" s="5"/>
    </row>
    <row r="106" spans="2:8" x14ac:dyDescent="0.2">
      <c r="B106" s="4"/>
      <c r="C106" s="5"/>
      <c r="D106" s="832"/>
      <c r="E106" s="832"/>
      <c r="F106" s="5"/>
      <c r="G106" s="5"/>
      <c r="H106" s="5"/>
    </row>
    <row r="107" spans="2:8" x14ac:dyDescent="0.2">
      <c r="B107" s="4"/>
      <c r="C107" s="5"/>
      <c r="D107" s="832"/>
      <c r="E107" s="832"/>
      <c r="F107" s="5"/>
      <c r="G107" s="5"/>
      <c r="H107" s="5"/>
    </row>
    <row r="108" spans="2:8" x14ac:dyDescent="0.2">
      <c r="B108" s="4"/>
      <c r="C108" s="5"/>
      <c r="D108" s="832"/>
      <c r="E108" s="832"/>
      <c r="F108" s="5"/>
      <c r="G108" s="5"/>
      <c r="H108" s="5"/>
    </row>
    <row r="109" spans="2:8" x14ac:dyDescent="0.2">
      <c r="B109" s="4"/>
      <c r="C109" s="5"/>
      <c r="D109" s="832"/>
      <c r="E109" s="832"/>
      <c r="F109" s="5"/>
      <c r="G109" s="5"/>
      <c r="H109" s="5"/>
    </row>
    <row r="110" spans="2:8" x14ac:dyDescent="0.2">
      <c r="B110" s="4"/>
      <c r="C110" s="5"/>
      <c r="D110" s="832"/>
      <c r="E110" s="832"/>
      <c r="F110" s="5"/>
      <c r="G110" s="5"/>
      <c r="H110" s="5"/>
    </row>
    <row r="111" spans="2:8" x14ac:dyDescent="0.2">
      <c r="B111" s="4"/>
      <c r="C111" s="5"/>
      <c r="D111" s="832"/>
      <c r="E111" s="832"/>
      <c r="F111" s="5"/>
      <c r="G111" s="5"/>
      <c r="H111" s="5"/>
    </row>
    <row r="112" spans="2:8" x14ac:dyDescent="0.2">
      <c r="B112" s="4"/>
      <c r="C112" s="5"/>
      <c r="D112" s="832"/>
      <c r="E112" s="832"/>
      <c r="F112" s="5"/>
      <c r="G112" s="5"/>
      <c r="H112" s="5"/>
    </row>
    <row r="113" spans="2:8" x14ac:dyDescent="0.2">
      <c r="B113" s="4"/>
      <c r="C113" s="5"/>
      <c r="D113" s="832"/>
      <c r="E113" s="832"/>
      <c r="F113" s="5"/>
      <c r="G113" s="5"/>
      <c r="H113" s="5"/>
    </row>
    <row r="114" spans="2:8" x14ac:dyDescent="0.2">
      <c r="B114" s="4"/>
      <c r="C114" s="5"/>
      <c r="D114" s="832"/>
      <c r="E114" s="832"/>
      <c r="F114" s="5"/>
      <c r="G114" s="5"/>
      <c r="H114" s="5"/>
    </row>
    <row r="115" spans="2:8" x14ac:dyDescent="0.2">
      <c r="B115" s="4"/>
      <c r="C115" s="5"/>
      <c r="D115" s="832"/>
      <c r="E115" s="832"/>
      <c r="F115" s="5"/>
      <c r="G115" s="5"/>
      <c r="H115" s="5"/>
    </row>
    <row r="116" spans="2:8" x14ac:dyDescent="0.2">
      <c r="B116" s="4"/>
      <c r="C116" s="5"/>
      <c r="D116" s="832"/>
      <c r="E116" s="832"/>
      <c r="F116" s="5"/>
      <c r="G116" s="5"/>
      <c r="H116" s="5"/>
    </row>
    <row r="117" spans="2:8" x14ac:dyDescent="0.2">
      <c r="B117" s="4"/>
      <c r="C117" s="5"/>
      <c r="D117" s="832"/>
      <c r="E117" s="832"/>
      <c r="F117" s="5"/>
      <c r="G117" s="5"/>
      <c r="H117" s="5"/>
    </row>
    <row r="118" spans="2:8" x14ac:dyDescent="0.2">
      <c r="B118" s="4"/>
      <c r="C118" s="5"/>
      <c r="D118" s="832"/>
      <c r="E118" s="832"/>
      <c r="F118" s="5"/>
      <c r="G118" s="5"/>
      <c r="H118" s="5"/>
    </row>
    <row r="119" spans="2:8" x14ac:dyDescent="0.2">
      <c r="B119" s="4"/>
      <c r="C119" s="5"/>
      <c r="D119" s="832"/>
      <c r="E119" s="832"/>
      <c r="F119" s="5"/>
      <c r="G119" s="5"/>
      <c r="H119" s="5"/>
    </row>
    <row r="120" spans="2:8" x14ac:dyDescent="0.2">
      <c r="B120" s="4"/>
      <c r="C120" s="5"/>
      <c r="D120" s="832"/>
      <c r="E120" s="832"/>
      <c r="F120" s="5"/>
      <c r="G120" s="5"/>
      <c r="H120" s="5"/>
    </row>
    <row r="121" spans="2:8" x14ac:dyDescent="0.2">
      <c r="B121" s="4"/>
      <c r="C121" s="5"/>
      <c r="D121" s="832"/>
      <c r="E121" s="832"/>
      <c r="F121" s="5"/>
      <c r="G121" s="5"/>
      <c r="H121" s="5"/>
    </row>
    <row r="122" spans="2:8" x14ac:dyDescent="0.2">
      <c r="B122" s="4"/>
      <c r="C122" s="5"/>
      <c r="D122" s="832"/>
      <c r="E122" s="832"/>
      <c r="F122" s="5"/>
      <c r="G122" s="5"/>
      <c r="H122" s="5"/>
    </row>
    <row r="123" spans="2:8" x14ac:dyDescent="0.2">
      <c r="B123" s="4"/>
      <c r="C123" s="5"/>
      <c r="D123" s="832"/>
      <c r="E123" s="832"/>
      <c r="F123" s="5"/>
      <c r="G123" s="5"/>
      <c r="H123" s="5"/>
    </row>
    <row r="124" spans="2:8" x14ac:dyDescent="0.2">
      <c r="B124" s="4"/>
      <c r="C124" s="5"/>
      <c r="D124" s="832"/>
      <c r="E124" s="832"/>
      <c r="F124" s="5"/>
      <c r="G124" s="5"/>
      <c r="H124" s="5"/>
    </row>
    <row r="125" spans="2:8" x14ac:dyDescent="0.2">
      <c r="B125" s="4"/>
      <c r="C125" s="5"/>
      <c r="D125" s="832"/>
      <c r="E125" s="832"/>
      <c r="F125" s="5"/>
      <c r="G125" s="5"/>
      <c r="H125" s="5"/>
    </row>
    <row r="126" spans="2:8" x14ac:dyDescent="0.2">
      <c r="B126" s="4"/>
      <c r="C126" s="5"/>
      <c r="D126" s="832"/>
      <c r="E126" s="832"/>
      <c r="F126" s="5"/>
      <c r="G126" s="5"/>
      <c r="H126" s="5"/>
    </row>
    <row r="127" spans="2:8" x14ac:dyDescent="0.2">
      <c r="B127" s="4"/>
      <c r="C127" s="5"/>
      <c r="D127" s="832"/>
      <c r="E127" s="832"/>
      <c r="F127" s="5"/>
      <c r="G127" s="5"/>
      <c r="H127" s="5"/>
    </row>
    <row r="128" spans="2:8" x14ac:dyDescent="0.2">
      <c r="B128" s="4"/>
      <c r="C128" s="5"/>
      <c r="D128" s="832"/>
      <c r="E128" s="832"/>
      <c r="F128" s="5"/>
      <c r="G128" s="5"/>
      <c r="H128" s="5"/>
    </row>
    <row r="129" spans="2:8" x14ac:dyDescent="0.2">
      <c r="B129" s="4"/>
      <c r="C129" s="5"/>
      <c r="D129" s="832"/>
      <c r="E129" s="832"/>
      <c r="F129" s="5"/>
      <c r="G129" s="5"/>
      <c r="H129" s="5"/>
    </row>
    <row r="130" spans="2:8" x14ac:dyDescent="0.2">
      <c r="B130" s="4"/>
      <c r="C130" s="5"/>
      <c r="D130" s="832"/>
      <c r="E130" s="832"/>
      <c r="F130" s="5"/>
      <c r="G130" s="5"/>
      <c r="H130" s="5"/>
    </row>
    <row r="131" spans="2:8" x14ac:dyDescent="0.2">
      <c r="B131" s="4"/>
      <c r="C131" s="5"/>
      <c r="D131" s="832"/>
      <c r="E131" s="832"/>
      <c r="F131" s="5"/>
      <c r="G131" s="5"/>
      <c r="H131" s="5"/>
    </row>
    <row r="132" spans="2:8" x14ac:dyDescent="0.2">
      <c r="B132" s="4"/>
      <c r="C132" s="5"/>
      <c r="D132" s="832"/>
      <c r="E132" s="832"/>
      <c r="F132" s="5"/>
      <c r="G132" s="5"/>
      <c r="H132" s="5"/>
    </row>
    <row r="133" spans="2:8" x14ac:dyDescent="0.2">
      <c r="B133" s="4"/>
      <c r="C133" s="5"/>
      <c r="D133" s="832"/>
      <c r="E133" s="832"/>
      <c r="F133" s="5"/>
      <c r="G133" s="5"/>
      <c r="H133" s="5"/>
    </row>
    <row r="134" spans="2:8" x14ac:dyDescent="0.2">
      <c r="B134" s="4"/>
      <c r="C134" s="5"/>
      <c r="D134" s="832"/>
      <c r="E134" s="832"/>
      <c r="F134" s="5"/>
      <c r="G134" s="5"/>
      <c r="H134" s="5"/>
    </row>
    <row r="135" spans="2:8" x14ac:dyDescent="0.2">
      <c r="C135" s="5"/>
      <c r="D135" s="832"/>
      <c r="E135" s="832"/>
      <c r="F135" s="5"/>
      <c r="G135" s="5"/>
      <c r="H135" s="5"/>
    </row>
    <row r="136" spans="2:8" x14ac:dyDescent="0.2">
      <c r="C136" s="5"/>
      <c r="D136" s="832"/>
      <c r="E136" s="832"/>
      <c r="F136" s="5"/>
      <c r="G136" s="5"/>
      <c r="H136" s="5"/>
    </row>
    <row r="137" spans="2:8" x14ac:dyDescent="0.2">
      <c r="C137" s="5"/>
      <c r="D137" s="832"/>
      <c r="E137" s="832"/>
      <c r="F137" s="5"/>
      <c r="G137" s="5"/>
      <c r="H137" s="5"/>
    </row>
    <row r="138" spans="2:8" x14ac:dyDescent="0.2">
      <c r="C138" s="5"/>
      <c r="D138" s="832"/>
      <c r="E138" s="832"/>
      <c r="F138" s="5"/>
      <c r="G138" s="5"/>
      <c r="H138" s="5"/>
    </row>
    <row r="139" spans="2:8" x14ac:dyDescent="0.2">
      <c r="C139" s="5"/>
      <c r="D139" s="832"/>
      <c r="E139" s="832"/>
      <c r="F139" s="5"/>
      <c r="G139" s="5"/>
      <c r="H139" s="5"/>
    </row>
    <row r="140" spans="2:8" x14ac:dyDescent="0.2">
      <c r="C140" s="5"/>
      <c r="D140" s="832"/>
      <c r="E140" s="832"/>
      <c r="F140" s="5"/>
      <c r="G140" s="5"/>
      <c r="H140" s="5"/>
    </row>
    <row r="141" spans="2:8" x14ac:dyDescent="0.2">
      <c r="C141" s="5"/>
      <c r="D141" s="832"/>
      <c r="E141" s="832"/>
      <c r="F141" s="5"/>
      <c r="G141" s="5"/>
      <c r="H141" s="5"/>
    </row>
    <row r="142" spans="2:8" x14ac:dyDescent="0.2">
      <c r="C142" s="5"/>
      <c r="D142" s="832"/>
      <c r="E142" s="832"/>
      <c r="F142" s="5"/>
      <c r="G142" s="5"/>
      <c r="H142" s="5"/>
    </row>
    <row r="143" spans="2:8" x14ac:dyDescent="0.2">
      <c r="C143" s="5"/>
      <c r="D143" s="832"/>
      <c r="E143" s="832"/>
      <c r="F143" s="5"/>
      <c r="G143" s="5"/>
      <c r="H143" s="5"/>
    </row>
    <row r="144" spans="2:8" x14ac:dyDescent="0.2">
      <c r="C144" s="5"/>
      <c r="D144" s="832"/>
      <c r="E144" s="832"/>
      <c r="F144" s="5"/>
      <c r="G144" s="5"/>
      <c r="H144" s="5"/>
    </row>
    <row r="145" spans="3:8" x14ac:dyDescent="0.2">
      <c r="C145" s="5"/>
      <c r="D145" s="832"/>
      <c r="E145" s="832"/>
      <c r="F145" s="5"/>
      <c r="G145" s="5"/>
      <c r="H145" s="5"/>
    </row>
    <row r="146" spans="3:8" x14ac:dyDescent="0.2">
      <c r="C146" s="5"/>
      <c r="D146" s="832"/>
      <c r="E146" s="832"/>
      <c r="F146" s="5"/>
      <c r="G146" s="5"/>
      <c r="H146" s="5"/>
    </row>
    <row r="147" spans="3:8" x14ac:dyDescent="0.2">
      <c r="C147" s="5"/>
      <c r="D147" s="832"/>
      <c r="E147" s="832"/>
      <c r="F147" s="5"/>
      <c r="G147" s="5"/>
      <c r="H147" s="5"/>
    </row>
    <row r="148" spans="3:8" x14ac:dyDescent="0.2">
      <c r="C148" s="5"/>
      <c r="D148" s="832"/>
      <c r="E148" s="832"/>
      <c r="F148" s="5"/>
      <c r="G148" s="5"/>
      <c r="H148" s="5"/>
    </row>
    <row r="149" spans="3:8" x14ac:dyDescent="0.2">
      <c r="C149" s="5"/>
      <c r="D149" s="832"/>
      <c r="E149" s="832"/>
      <c r="F149" s="5"/>
      <c r="G149" s="5"/>
      <c r="H149" s="5"/>
    </row>
    <row r="150" spans="3:8" x14ac:dyDescent="0.2">
      <c r="C150" s="5"/>
      <c r="D150" s="832"/>
      <c r="E150" s="832"/>
      <c r="F150" s="5"/>
      <c r="G150" s="5"/>
      <c r="H150" s="5"/>
    </row>
    <row r="151" spans="3:8" x14ac:dyDescent="0.2">
      <c r="C151" s="5"/>
      <c r="D151" s="832"/>
      <c r="E151" s="832"/>
      <c r="F151" s="5"/>
      <c r="G151" s="5"/>
      <c r="H151" s="5"/>
    </row>
    <row r="152" spans="3:8" x14ac:dyDescent="0.2">
      <c r="C152" s="5"/>
      <c r="D152" s="832"/>
      <c r="E152" s="832"/>
      <c r="F152" s="5"/>
      <c r="G152" s="5"/>
      <c r="H152" s="5"/>
    </row>
    <row r="153" spans="3:8" x14ac:dyDescent="0.2">
      <c r="C153" s="5"/>
      <c r="D153" s="832"/>
      <c r="E153" s="832"/>
      <c r="F153" s="5"/>
      <c r="G153" s="5"/>
      <c r="H153" s="5"/>
    </row>
    <row r="154" spans="3:8" x14ac:dyDescent="0.2">
      <c r="C154" s="5"/>
      <c r="D154" s="832"/>
      <c r="E154" s="832"/>
      <c r="F154" s="5"/>
      <c r="G154" s="5"/>
      <c r="H154" s="5"/>
    </row>
    <row r="155" spans="3:8" x14ac:dyDescent="0.2">
      <c r="C155" s="5"/>
      <c r="D155" s="832"/>
      <c r="E155" s="832"/>
      <c r="F155" s="5"/>
      <c r="G155" s="5"/>
      <c r="H155" s="5"/>
    </row>
    <row r="156" spans="3:8" x14ac:dyDescent="0.2">
      <c r="C156" s="5"/>
      <c r="D156" s="832"/>
      <c r="E156" s="832"/>
      <c r="F156" s="5"/>
      <c r="G156" s="5"/>
      <c r="H156" s="5"/>
    </row>
    <row r="157" spans="3:8" x14ac:dyDescent="0.2">
      <c r="C157" s="5"/>
      <c r="D157" s="832"/>
      <c r="E157" s="832"/>
      <c r="F157" s="5"/>
      <c r="G157" s="5"/>
      <c r="H157" s="5"/>
    </row>
    <row r="158" spans="3:8" x14ac:dyDescent="0.2">
      <c r="C158" s="5"/>
      <c r="D158" s="832"/>
      <c r="E158" s="832"/>
      <c r="F158" s="5"/>
      <c r="G158" s="5"/>
      <c r="H158" s="5"/>
    </row>
    <row r="159" spans="3:8" x14ac:dyDescent="0.2">
      <c r="C159" s="5"/>
      <c r="D159" s="832"/>
      <c r="E159" s="832"/>
      <c r="F159" s="5"/>
      <c r="G159" s="5"/>
      <c r="H159" s="5"/>
    </row>
    <row r="160" spans="3:8" x14ac:dyDescent="0.2">
      <c r="C160" s="5"/>
      <c r="D160" s="832"/>
      <c r="E160" s="832"/>
      <c r="F160" s="5"/>
      <c r="G160" s="5"/>
      <c r="H160" s="5"/>
    </row>
    <row r="161" spans="3:8" x14ac:dyDescent="0.2">
      <c r="C161" s="5"/>
      <c r="D161" s="832"/>
      <c r="E161" s="832"/>
      <c r="F161" s="5"/>
      <c r="G161" s="5"/>
      <c r="H161" s="5"/>
    </row>
    <row r="162" spans="3:8" x14ac:dyDescent="0.2">
      <c r="C162" s="5"/>
      <c r="D162" s="832"/>
      <c r="E162" s="832"/>
      <c r="F162" s="5"/>
      <c r="G162" s="5"/>
      <c r="H162" s="5"/>
    </row>
    <row r="163" spans="3:8" x14ac:dyDescent="0.2">
      <c r="C163" s="5"/>
      <c r="D163" s="832"/>
      <c r="E163" s="832"/>
      <c r="F163" s="5"/>
      <c r="G163" s="5"/>
      <c r="H163" s="5"/>
    </row>
    <row r="164" spans="3:8" x14ac:dyDescent="0.2">
      <c r="C164" s="5"/>
      <c r="D164" s="832"/>
      <c r="E164" s="832"/>
      <c r="F164" s="5"/>
      <c r="G164" s="5"/>
      <c r="H164" s="5"/>
    </row>
    <row r="165" spans="3:8" x14ac:dyDescent="0.2">
      <c r="C165" s="5"/>
      <c r="D165" s="832"/>
      <c r="E165" s="832"/>
      <c r="F165" s="5"/>
      <c r="G165" s="5"/>
      <c r="H165" s="5"/>
    </row>
    <row r="166" spans="3:8" x14ac:dyDescent="0.2">
      <c r="C166" s="5"/>
      <c r="D166" s="832"/>
      <c r="E166" s="832"/>
      <c r="F166" s="5"/>
      <c r="G166" s="5"/>
      <c r="H166" s="5"/>
    </row>
    <row r="167" spans="3:8" x14ac:dyDescent="0.2">
      <c r="C167" s="5"/>
      <c r="D167" s="832"/>
      <c r="E167" s="832"/>
      <c r="F167" s="5"/>
      <c r="G167" s="5"/>
      <c r="H167" s="5"/>
    </row>
    <row r="168" spans="3:8" x14ac:dyDescent="0.2">
      <c r="C168" s="5"/>
      <c r="D168" s="832"/>
      <c r="E168" s="832"/>
      <c r="F168" s="5"/>
      <c r="G168" s="5"/>
      <c r="H168" s="5"/>
    </row>
    <row r="169" spans="3:8" x14ac:dyDescent="0.2">
      <c r="C169" s="5"/>
      <c r="D169" s="832"/>
      <c r="E169" s="832"/>
      <c r="F169" s="5"/>
      <c r="G169" s="5"/>
      <c r="H169" s="5"/>
    </row>
    <row r="170" spans="3:8" x14ac:dyDescent="0.2">
      <c r="C170" s="5"/>
      <c r="D170" s="832"/>
      <c r="E170" s="832"/>
      <c r="F170" s="5"/>
      <c r="G170" s="5"/>
      <c r="H170" s="5"/>
    </row>
    <row r="171" spans="3:8" x14ac:dyDescent="0.2">
      <c r="C171" s="5"/>
      <c r="D171" s="832"/>
      <c r="E171" s="832"/>
      <c r="F171" s="5"/>
      <c r="G171" s="5"/>
      <c r="H171" s="5"/>
    </row>
    <row r="172" spans="3:8" x14ac:dyDescent="0.2">
      <c r="C172" s="5"/>
      <c r="D172" s="832"/>
      <c r="E172" s="832"/>
      <c r="F172" s="5"/>
      <c r="G172" s="5"/>
      <c r="H172" s="5"/>
    </row>
    <row r="173" spans="3:8" x14ac:dyDescent="0.2">
      <c r="C173" s="5"/>
      <c r="D173" s="832"/>
      <c r="E173" s="832"/>
      <c r="F173" s="5"/>
      <c r="G173" s="5"/>
      <c r="H173" s="5"/>
    </row>
    <row r="174" spans="3:8" x14ac:dyDescent="0.2">
      <c r="C174" s="5"/>
      <c r="D174" s="832"/>
      <c r="E174" s="832"/>
      <c r="F174" s="5"/>
      <c r="G174" s="5"/>
      <c r="H174" s="5"/>
    </row>
    <row r="175" spans="3:8" x14ac:dyDescent="0.2">
      <c r="C175" s="5"/>
      <c r="D175" s="832"/>
      <c r="E175" s="832"/>
      <c r="F175" s="5"/>
      <c r="G175" s="5"/>
      <c r="H175" s="5"/>
    </row>
    <row r="176" spans="3:8" x14ac:dyDescent="0.2">
      <c r="C176" s="5"/>
      <c r="D176" s="832"/>
      <c r="E176" s="832"/>
      <c r="F176" s="5"/>
      <c r="G176" s="5"/>
      <c r="H176" s="5"/>
    </row>
    <row r="177" spans="3:8" x14ac:dyDescent="0.2">
      <c r="C177" s="5"/>
      <c r="D177" s="832"/>
      <c r="E177" s="832"/>
      <c r="F177" s="5"/>
      <c r="G177" s="5"/>
      <c r="H177" s="5"/>
    </row>
    <row r="178" spans="3:8" x14ac:dyDescent="0.2">
      <c r="C178" s="5"/>
      <c r="D178" s="832"/>
      <c r="E178" s="832"/>
      <c r="F178" s="5"/>
      <c r="G178" s="5"/>
      <c r="H178" s="5"/>
    </row>
    <row r="179" spans="3:8" x14ac:dyDescent="0.2">
      <c r="C179" s="5"/>
      <c r="D179" s="832"/>
      <c r="E179" s="832"/>
      <c r="F179" s="5"/>
      <c r="G179" s="5"/>
      <c r="H179" s="5"/>
    </row>
    <row r="180" spans="3:8" x14ac:dyDescent="0.2">
      <c r="C180" s="5"/>
      <c r="D180" s="832"/>
      <c r="E180" s="832"/>
      <c r="F180" s="5"/>
      <c r="G180" s="5"/>
      <c r="H180" s="5"/>
    </row>
    <row r="181" spans="3:8" x14ac:dyDescent="0.2">
      <c r="C181" s="5"/>
      <c r="D181" s="832"/>
      <c r="E181" s="832"/>
      <c r="F181" s="5"/>
      <c r="G181" s="5"/>
      <c r="H181" s="5"/>
    </row>
    <row r="182" spans="3:8" x14ac:dyDescent="0.2">
      <c r="C182" s="5"/>
      <c r="D182" s="832"/>
      <c r="E182" s="832"/>
      <c r="F182" s="5"/>
      <c r="G182" s="5"/>
      <c r="H182" s="5"/>
    </row>
    <row r="183" spans="3:8" x14ac:dyDescent="0.2">
      <c r="C183" s="5"/>
      <c r="D183" s="832"/>
      <c r="E183" s="832"/>
      <c r="F183" s="5"/>
      <c r="G183" s="5"/>
      <c r="H183" s="5"/>
    </row>
    <row r="184" spans="3:8" x14ac:dyDescent="0.2">
      <c r="C184" s="5"/>
      <c r="D184" s="832"/>
      <c r="E184" s="832"/>
      <c r="F184" s="5"/>
      <c r="G184" s="5"/>
      <c r="H184" s="5"/>
    </row>
    <row r="185" spans="3:8" x14ac:dyDescent="0.2">
      <c r="C185" s="5"/>
      <c r="D185" s="832"/>
      <c r="E185" s="832"/>
      <c r="F185" s="5"/>
      <c r="G185" s="5"/>
      <c r="H185" s="5"/>
    </row>
    <row r="186" spans="3:8" x14ac:dyDescent="0.2">
      <c r="C186" s="5"/>
      <c r="D186" s="832"/>
      <c r="E186" s="832"/>
      <c r="F186" s="5"/>
      <c r="G186" s="5"/>
      <c r="H186" s="5"/>
    </row>
    <row r="187" spans="3:8" x14ac:dyDescent="0.2">
      <c r="C187" s="5"/>
      <c r="D187" s="832"/>
      <c r="E187" s="832"/>
      <c r="F187" s="5"/>
      <c r="G187" s="5"/>
      <c r="H187" s="5"/>
    </row>
    <row r="188" spans="3:8" x14ac:dyDescent="0.2">
      <c r="C188" s="5"/>
      <c r="D188" s="832"/>
      <c r="E188" s="832"/>
      <c r="F188" s="5"/>
      <c r="G188" s="5"/>
      <c r="H188" s="5"/>
    </row>
    <row r="189" spans="3:8" x14ac:dyDescent="0.2">
      <c r="C189" s="5"/>
      <c r="D189" s="832"/>
      <c r="E189" s="832"/>
      <c r="F189" s="5"/>
      <c r="G189" s="5"/>
      <c r="H189" s="5"/>
    </row>
    <row r="190" spans="3:8" x14ac:dyDescent="0.2">
      <c r="C190" s="5"/>
      <c r="D190" s="832"/>
      <c r="E190" s="832"/>
      <c r="F190" s="5"/>
      <c r="G190" s="5"/>
      <c r="H190" s="5"/>
    </row>
    <row r="191" spans="3:8" x14ac:dyDescent="0.2">
      <c r="C191" s="5"/>
      <c r="D191" s="832"/>
      <c r="E191" s="832"/>
      <c r="F191" s="5"/>
      <c r="G191" s="5"/>
      <c r="H191" s="5"/>
    </row>
    <row r="192" spans="3:8" x14ac:dyDescent="0.2">
      <c r="C192" s="5"/>
      <c r="D192" s="832"/>
      <c r="E192" s="832"/>
      <c r="F192" s="5"/>
      <c r="G192" s="5"/>
      <c r="H192" s="5"/>
    </row>
    <row r="193" spans="3:8" x14ac:dyDescent="0.2">
      <c r="C193" s="5"/>
      <c r="D193" s="832"/>
      <c r="E193" s="832"/>
      <c r="F193" s="5"/>
      <c r="G193" s="5"/>
      <c r="H193" s="5"/>
    </row>
    <row r="194" spans="3:8" x14ac:dyDescent="0.2">
      <c r="C194" s="5"/>
      <c r="D194" s="832"/>
      <c r="E194" s="832"/>
      <c r="F194" s="5"/>
      <c r="G194" s="5"/>
      <c r="H194" s="5"/>
    </row>
    <row r="195" spans="3:8" x14ac:dyDescent="0.2">
      <c r="C195" s="5"/>
      <c r="D195" s="832"/>
      <c r="E195" s="832"/>
      <c r="F195" s="5"/>
      <c r="G195" s="5"/>
      <c r="H195" s="5"/>
    </row>
    <row r="196" spans="3:8" x14ac:dyDescent="0.2">
      <c r="C196" s="5"/>
      <c r="D196" s="832"/>
      <c r="E196" s="832"/>
      <c r="F196" s="5"/>
      <c r="G196" s="5"/>
      <c r="H196" s="5"/>
    </row>
    <row r="197" spans="3:8" x14ac:dyDescent="0.2">
      <c r="C197" s="5"/>
      <c r="D197" s="832"/>
      <c r="E197" s="832"/>
      <c r="F197" s="5"/>
      <c r="G197" s="5"/>
      <c r="H197" s="5"/>
    </row>
    <row r="198" spans="3:8" x14ac:dyDescent="0.2">
      <c r="C198" s="5"/>
      <c r="D198" s="832"/>
      <c r="E198" s="832"/>
      <c r="F198" s="5"/>
      <c r="G198" s="5"/>
      <c r="H198" s="5"/>
    </row>
    <row r="199" spans="3:8" x14ac:dyDescent="0.2">
      <c r="C199" s="5"/>
      <c r="D199" s="832"/>
      <c r="E199" s="832"/>
      <c r="F199" s="5"/>
      <c r="G199" s="5"/>
      <c r="H199" s="5"/>
    </row>
    <row r="200" spans="3:8" x14ac:dyDescent="0.2">
      <c r="C200" s="5"/>
      <c r="D200" s="832"/>
      <c r="E200" s="832"/>
      <c r="F200" s="5"/>
      <c r="G200" s="5"/>
      <c r="H200" s="5"/>
    </row>
    <row r="201" spans="3:8" x14ac:dyDescent="0.2">
      <c r="C201" s="5"/>
      <c r="D201" s="832"/>
      <c r="E201" s="832"/>
      <c r="F201" s="5"/>
      <c r="G201" s="5"/>
      <c r="H201" s="5"/>
    </row>
    <row r="202" spans="3:8" x14ac:dyDescent="0.2">
      <c r="C202" s="5"/>
      <c r="D202" s="832"/>
      <c r="E202" s="832"/>
      <c r="F202" s="5"/>
      <c r="G202" s="5"/>
      <c r="H202" s="5"/>
    </row>
    <row r="203" spans="3:8" x14ac:dyDescent="0.2">
      <c r="C203" s="5"/>
      <c r="D203" s="832"/>
      <c r="E203" s="832"/>
      <c r="F203" s="5"/>
      <c r="G203" s="5"/>
      <c r="H203" s="5"/>
    </row>
    <row r="204" spans="3:8" x14ac:dyDescent="0.2">
      <c r="C204" s="5"/>
      <c r="D204" s="832"/>
      <c r="E204" s="832"/>
      <c r="F204" s="5"/>
      <c r="G204" s="5"/>
      <c r="H204" s="5"/>
    </row>
    <row r="205" spans="3:8" x14ac:dyDescent="0.2">
      <c r="C205" s="5"/>
      <c r="D205" s="832"/>
      <c r="E205" s="832"/>
      <c r="F205" s="5"/>
      <c r="G205" s="5"/>
      <c r="H205" s="5"/>
    </row>
    <row r="206" spans="3:8" x14ac:dyDescent="0.2">
      <c r="C206" s="5"/>
      <c r="D206" s="832"/>
      <c r="E206" s="832"/>
      <c r="F206" s="5"/>
      <c r="G206" s="5"/>
      <c r="H206" s="5"/>
    </row>
    <row r="207" spans="3:8" x14ac:dyDescent="0.2">
      <c r="C207" s="5"/>
      <c r="D207" s="832"/>
      <c r="E207" s="832"/>
      <c r="F207" s="5"/>
      <c r="G207" s="5"/>
      <c r="H207" s="5"/>
    </row>
    <row r="208" spans="3:8" x14ac:dyDescent="0.2">
      <c r="C208" s="5"/>
      <c r="D208" s="832"/>
      <c r="E208" s="832"/>
      <c r="F208" s="5"/>
      <c r="G208" s="5"/>
      <c r="H208" s="5"/>
    </row>
    <row r="209" spans="3:8" x14ac:dyDescent="0.2">
      <c r="C209" s="5"/>
      <c r="D209" s="832"/>
      <c r="E209" s="832"/>
      <c r="F209" s="5"/>
      <c r="G209" s="5"/>
      <c r="H209" s="5"/>
    </row>
    <row r="210" spans="3:8" x14ac:dyDescent="0.2">
      <c r="C210" s="5"/>
      <c r="D210" s="832"/>
      <c r="E210" s="832"/>
      <c r="F210" s="5"/>
      <c r="G210" s="5"/>
      <c r="H210" s="5"/>
    </row>
    <row r="211" spans="3:8" x14ac:dyDescent="0.2">
      <c r="C211" s="5"/>
      <c r="D211" s="832"/>
      <c r="E211" s="832"/>
      <c r="F211" s="5"/>
      <c r="G211" s="5"/>
      <c r="H211" s="5"/>
    </row>
    <row r="212" spans="3:8" x14ac:dyDescent="0.2">
      <c r="C212" s="5"/>
      <c r="D212" s="832"/>
      <c r="E212" s="832"/>
      <c r="F212" s="5"/>
      <c r="G212" s="5"/>
      <c r="H212" s="5"/>
    </row>
    <row r="213" spans="3:8" x14ac:dyDescent="0.2">
      <c r="C213" s="5"/>
      <c r="D213" s="832"/>
      <c r="E213" s="832"/>
      <c r="F213" s="5"/>
      <c r="G213" s="5"/>
      <c r="H213" s="5"/>
    </row>
    <row r="214" spans="3:8" x14ac:dyDescent="0.2">
      <c r="C214" s="5"/>
      <c r="D214" s="832"/>
      <c r="E214" s="832"/>
      <c r="F214" s="5"/>
      <c r="G214" s="5"/>
      <c r="H214" s="5"/>
    </row>
    <row r="215" spans="3:8" x14ac:dyDescent="0.2">
      <c r="C215" s="5"/>
      <c r="D215" s="832"/>
      <c r="E215" s="832"/>
      <c r="F215" s="5"/>
      <c r="G215" s="5"/>
      <c r="H215" s="5"/>
    </row>
    <row r="216" spans="3:8" x14ac:dyDescent="0.2">
      <c r="C216" s="5"/>
      <c r="D216" s="832"/>
      <c r="E216" s="832"/>
      <c r="F216" s="5"/>
      <c r="G216" s="5"/>
      <c r="H216" s="5"/>
    </row>
    <row r="217" spans="3:8" x14ac:dyDescent="0.2">
      <c r="C217" s="5"/>
      <c r="D217" s="832"/>
      <c r="E217" s="832"/>
      <c r="F217" s="5"/>
      <c r="G217" s="5"/>
      <c r="H217" s="5"/>
    </row>
    <row r="218" spans="3:8" x14ac:dyDescent="0.2">
      <c r="C218" s="5"/>
      <c r="D218" s="832"/>
      <c r="E218" s="832"/>
      <c r="F218" s="5"/>
      <c r="G218" s="5"/>
      <c r="H218" s="5"/>
    </row>
    <row r="219" spans="3:8" x14ac:dyDescent="0.2">
      <c r="C219" s="5"/>
      <c r="D219" s="832"/>
      <c r="E219" s="832"/>
      <c r="F219" s="5"/>
      <c r="G219" s="5"/>
      <c r="H219" s="5"/>
    </row>
    <row r="220" spans="3:8" x14ac:dyDescent="0.2">
      <c r="C220" s="5"/>
      <c r="D220" s="832"/>
      <c r="E220" s="832"/>
      <c r="F220" s="5"/>
      <c r="G220" s="5"/>
      <c r="H220" s="5"/>
    </row>
    <row r="221" spans="3:8" x14ac:dyDescent="0.2">
      <c r="C221" s="5"/>
      <c r="D221" s="832"/>
      <c r="E221" s="832"/>
      <c r="F221" s="5"/>
      <c r="G221" s="5"/>
      <c r="H221" s="5"/>
    </row>
    <row r="222" spans="3:8" x14ac:dyDescent="0.2">
      <c r="C222" s="5"/>
      <c r="D222" s="832"/>
      <c r="E222" s="832"/>
      <c r="F222" s="5"/>
      <c r="G222" s="5"/>
      <c r="H222" s="5"/>
    </row>
    <row r="223" spans="3:8" x14ac:dyDescent="0.2">
      <c r="C223" s="5"/>
      <c r="D223" s="832"/>
      <c r="E223" s="832"/>
      <c r="F223" s="5"/>
      <c r="G223" s="5"/>
      <c r="H223" s="5"/>
    </row>
    <row r="224" spans="3:8" x14ac:dyDescent="0.2">
      <c r="C224" s="5"/>
      <c r="D224" s="832"/>
      <c r="E224" s="832"/>
      <c r="F224" s="5"/>
      <c r="G224" s="5"/>
      <c r="H224" s="5"/>
    </row>
    <row r="225" spans="3:8" x14ac:dyDescent="0.2">
      <c r="C225" s="5"/>
      <c r="D225" s="832"/>
      <c r="E225" s="832"/>
      <c r="F225" s="5"/>
      <c r="G225" s="5"/>
      <c r="H225" s="5"/>
    </row>
    <row r="226" spans="3:8" x14ac:dyDescent="0.2">
      <c r="C226" s="5"/>
      <c r="D226" s="832"/>
      <c r="E226" s="832"/>
      <c r="F226" s="5"/>
      <c r="G226" s="5"/>
      <c r="H226" s="5"/>
    </row>
    <row r="227" spans="3:8" x14ac:dyDescent="0.2">
      <c r="C227" s="5"/>
      <c r="D227" s="832"/>
      <c r="E227" s="832"/>
      <c r="F227" s="5"/>
      <c r="G227" s="5"/>
      <c r="H227" s="5"/>
    </row>
    <row r="228" spans="3:8" x14ac:dyDescent="0.2">
      <c r="C228" s="5"/>
      <c r="D228" s="832"/>
      <c r="E228" s="832"/>
      <c r="F228" s="5"/>
      <c r="G228" s="5"/>
      <c r="H228" s="5"/>
    </row>
    <row r="229" spans="3:8" x14ac:dyDescent="0.2">
      <c r="C229" s="5"/>
      <c r="D229" s="832"/>
      <c r="E229" s="832"/>
      <c r="F229" s="5"/>
      <c r="G229" s="5"/>
      <c r="H229" s="5"/>
    </row>
    <row r="230" spans="3:8" x14ac:dyDescent="0.2">
      <c r="C230" s="5"/>
      <c r="D230" s="832"/>
      <c r="E230" s="832"/>
      <c r="F230" s="5"/>
      <c r="G230" s="5"/>
      <c r="H230" s="5"/>
    </row>
    <row r="231" spans="3:8" x14ac:dyDescent="0.2">
      <c r="C231" s="5"/>
      <c r="D231" s="832"/>
      <c r="E231" s="832"/>
      <c r="F231" s="5"/>
      <c r="G231" s="5"/>
      <c r="H231" s="5"/>
    </row>
    <row r="232" spans="3:8" x14ac:dyDescent="0.2">
      <c r="C232" s="5"/>
      <c r="D232" s="832"/>
      <c r="E232" s="832"/>
      <c r="F232" s="5"/>
      <c r="G232" s="5"/>
      <c r="H232" s="5"/>
    </row>
    <row r="233" spans="3:8" x14ac:dyDescent="0.2">
      <c r="C233" s="5"/>
      <c r="D233" s="832"/>
      <c r="E233" s="832"/>
      <c r="F233" s="5"/>
      <c r="G233" s="5"/>
      <c r="H233" s="5"/>
    </row>
    <row r="234" spans="3:8" x14ac:dyDescent="0.2">
      <c r="C234" s="5"/>
      <c r="D234" s="832"/>
      <c r="E234" s="832"/>
      <c r="F234" s="5"/>
      <c r="G234" s="5"/>
      <c r="H234" s="5"/>
    </row>
    <row r="235" spans="3:8" x14ac:dyDescent="0.2">
      <c r="C235" s="5"/>
      <c r="D235" s="832"/>
      <c r="E235" s="832"/>
      <c r="F235" s="5"/>
      <c r="G235" s="5"/>
      <c r="H235" s="5"/>
    </row>
    <row r="236" spans="3:8" x14ac:dyDescent="0.2">
      <c r="C236" s="5"/>
      <c r="D236" s="832"/>
      <c r="E236" s="832"/>
      <c r="F236" s="5"/>
      <c r="G236" s="5"/>
      <c r="H236" s="5"/>
    </row>
    <row r="237" spans="3:8" x14ac:dyDescent="0.2">
      <c r="C237" s="5"/>
      <c r="D237" s="832"/>
      <c r="E237" s="832"/>
      <c r="F237" s="5"/>
      <c r="G237" s="5"/>
      <c r="H237" s="5"/>
    </row>
    <row r="238" spans="3:8" x14ac:dyDescent="0.2">
      <c r="C238" s="5"/>
      <c r="D238" s="832"/>
      <c r="E238" s="832"/>
      <c r="F238" s="5"/>
      <c r="G238" s="5"/>
      <c r="H238" s="5"/>
    </row>
    <row r="239" spans="3:8" x14ac:dyDescent="0.2">
      <c r="C239" s="5"/>
      <c r="D239" s="832"/>
      <c r="E239" s="832"/>
      <c r="F239" s="5"/>
      <c r="G239" s="5"/>
      <c r="H239" s="5"/>
    </row>
    <row r="240" spans="3:8" x14ac:dyDescent="0.2">
      <c r="C240" s="5"/>
      <c r="D240" s="832"/>
      <c r="E240" s="832"/>
      <c r="F240" s="5"/>
      <c r="G240" s="5"/>
      <c r="H240" s="5"/>
    </row>
    <row r="241" spans="3:8" x14ac:dyDescent="0.2">
      <c r="C241" s="5"/>
      <c r="D241" s="832"/>
      <c r="E241" s="832"/>
      <c r="F241" s="5"/>
      <c r="G241" s="5"/>
      <c r="H241" s="5"/>
    </row>
    <row r="242" spans="3:8" x14ac:dyDescent="0.2">
      <c r="C242" s="5"/>
      <c r="D242" s="832"/>
      <c r="E242" s="832"/>
      <c r="F242" s="5"/>
      <c r="G242" s="5"/>
      <c r="H242" s="5"/>
    </row>
    <row r="243" spans="3:8" x14ac:dyDescent="0.2">
      <c r="C243" s="5"/>
      <c r="D243" s="832"/>
      <c r="E243" s="832"/>
      <c r="F243" s="5"/>
      <c r="G243" s="5"/>
      <c r="H243" s="5"/>
    </row>
    <row r="244" spans="3:8" x14ac:dyDescent="0.2">
      <c r="C244" s="5"/>
      <c r="D244" s="832"/>
      <c r="E244" s="832"/>
      <c r="F244" s="5"/>
      <c r="G244" s="5"/>
      <c r="H244" s="5"/>
    </row>
    <row r="245" spans="3:8" x14ac:dyDescent="0.2">
      <c r="C245" s="5"/>
      <c r="D245" s="832"/>
      <c r="E245" s="832"/>
      <c r="F245" s="5"/>
      <c r="G245" s="5"/>
      <c r="H245" s="5"/>
    </row>
    <row r="246" spans="3:8" x14ac:dyDescent="0.2">
      <c r="C246" s="5"/>
      <c r="D246" s="832"/>
      <c r="E246" s="832"/>
      <c r="F246" s="5"/>
      <c r="G246" s="5"/>
      <c r="H246" s="5"/>
    </row>
    <row r="247" spans="3:8" x14ac:dyDescent="0.2">
      <c r="C247" s="5"/>
      <c r="D247" s="832"/>
      <c r="E247" s="832"/>
      <c r="F247" s="5"/>
      <c r="G247" s="5"/>
      <c r="H247" s="5"/>
    </row>
    <row r="248" spans="3:8" x14ac:dyDescent="0.2">
      <c r="C248" s="5"/>
      <c r="D248" s="832"/>
      <c r="E248" s="832"/>
      <c r="F248" s="5"/>
      <c r="G248" s="5"/>
      <c r="H248" s="5"/>
    </row>
    <row r="249" spans="3:8" x14ac:dyDescent="0.2">
      <c r="C249" s="5"/>
      <c r="D249" s="832"/>
      <c r="E249" s="832"/>
      <c r="F249" s="5"/>
      <c r="G249" s="5"/>
      <c r="H249" s="5"/>
    </row>
    <row r="250" spans="3:8" x14ac:dyDescent="0.2">
      <c r="C250" s="5"/>
      <c r="D250" s="832"/>
      <c r="E250" s="832"/>
      <c r="F250" s="5"/>
      <c r="G250" s="5"/>
      <c r="H250" s="5"/>
    </row>
    <row r="251" spans="3:8" x14ac:dyDescent="0.2">
      <c r="C251" s="5"/>
      <c r="D251" s="832"/>
      <c r="E251" s="832"/>
      <c r="F251" s="5"/>
      <c r="G251" s="5"/>
      <c r="H251" s="5"/>
    </row>
    <row r="252" spans="3:8" x14ac:dyDescent="0.2">
      <c r="C252" s="5"/>
      <c r="D252" s="832"/>
      <c r="E252" s="832"/>
      <c r="F252" s="5"/>
      <c r="G252" s="5"/>
      <c r="H252" s="5"/>
    </row>
    <row r="253" spans="3:8" x14ac:dyDescent="0.2">
      <c r="C253" s="5"/>
      <c r="D253" s="832"/>
      <c r="E253" s="832"/>
      <c r="F253" s="5"/>
      <c r="G253" s="5"/>
      <c r="H253" s="5"/>
    </row>
    <row r="254" spans="3:8" x14ac:dyDescent="0.2">
      <c r="C254" s="5"/>
      <c r="D254" s="832"/>
      <c r="E254" s="832"/>
      <c r="F254" s="5"/>
      <c r="G254" s="5"/>
      <c r="H254" s="5"/>
    </row>
    <row r="255" spans="3:8" x14ac:dyDescent="0.2">
      <c r="C255" s="5"/>
      <c r="D255" s="832"/>
      <c r="E255" s="832"/>
      <c r="F255" s="5"/>
      <c r="G255" s="5"/>
      <c r="H255" s="5"/>
    </row>
    <row r="256" spans="3:8" x14ac:dyDescent="0.2">
      <c r="C256" s="5"/>
      <c r="D256" s="832"/>
      <c r="E256" s="832"/>
      <c r="F256" s="5"/>
      <c r="G256" s="5"/>
      <c r="H256" s="5"/>
    </row>
    <row r="257" spans="3:8" x14ac:dyDescent="0.2">
      <c r="C257" s="5"/>
      <c r="D257" s="832"/>
      <c r="E257" s="832"/>
      <c r="F257" s="5"/>
      <c r="G257" s="5"/>
      <c r="H257" s="5"/>
    </row>
    <row r="258" spans="3:8" x14ac:dyDescent="0.2">
      <c r="C258" s="5"/>
      <c r="D258" s="832"/>
      <c r="E258" s="832"/>
      <c r="F258" s="5"/>
      <c r="G258" s="5"/>
      <c r="H258" s="5"/>
    </row>
    <row r="259" spans="3:8" x14ac:dyDescent="0.2">
      <c r="C259" s="5"/>
      <c r="D259" s="832"/>
      <c r="E259" s="832"/>
      <c r="F259" s="5"/>
      <c r="G259" s="5"/>
      <c r="H259" s="5"/>
    </row>
    <row r="260" spans="3:8" x14ac:dyDescent="0.2">
      <c r="C260" s="5"/>
      <c r="D260" s="832"/>
      <c r="E260" s="832"/>
      <c r="F260" s="5"/>
      <c r="G260" s="5"/>
      <c r="H260" s="5"/>
    </row>
    <row r="261" spans="3:8" x14ac:dyDescent="0.2">
      <c r="C261" s="5"/>
      <c r="D261" s="832"/>
      <c r="E261" s="832"/>
      <c r="F261" s="5"/>
      <c r="G261" s="5"/>
      <c r="H261" s="5"/>
    </row>
    <row r="262" spans="3:8" x14ac:dyDescent="0.2">
      <c r="C262" s="5"/>
      <c r="D262" s="832"/>
      <c r="E262" s="832"/>
      <c r="F262" s="5"/>
      <c r="G262" s="5"/>
      <c r="H262" s="5"/>
    </row>
    <row r="263" spans="3:8" x14ac:dyDescent="0.2">
      <c r="C263" s="5"/>
      <c r="D263" s="832"/>
      <c r="E263" s="832"/>
      <c r="F263" s="5"/>
      <c r="G263" s="5"/>
      <c r="H263" s="5"/>
    </row>
    <row r="264" spans="3:8" x14ac:dyDescent="0.2">
      <c r="C264" s="5"/>
      <c r="D264" s="832"/>
      <c r="E264" s="832"/>
      <c r="F264" s="5"/>
      <c r="G264" s="5"/>
      <c r="H264" s="5"/>
    </row>
    <row r="265" spans="3:8" x14ac:dyDescent="0.2">
      <c r="C265" s="5"/>
      <c r="D265" s="832"/>
      <c r="E265" s="832"/>
      <c r="F265" s="5"/>
      <c r="G265" s="5"/>
      <c r="H265" s="5"/>
    </row>
    <row r="266" spans="3:8" x14ac:dyDescent="0.2">
      <c r="C266" s="5"/>
      <c r="D266" s="832"/>
      <c r="E266" s="832"/>
      <c r="F266" s="5"/>
      <c r="G266" s="5"/>
      <c r="H266" s="5"/>
    </row>
    <row r="267" spans="3:8" x14ac:dyDescent="0.2">
      <c r="C267" s="5"/>
      <c r="D267" s="832"/>
      <c r="E267" s="832"/>
      <c r="F267" s="5"/>
      <c r="G267" s="5"/>
      <c r="H267" s="5"/>
    </row>
    <row r="268" spans="3:8" x14ac:dyDescent="0.2">
      <c r="C268" s="5"/>
      <c r="D268" s="832"/>
      <c r="E268" s="832"/>
      <c r="F268" s="5"/>
      <c r="G268" s="5"/>
      <c r="H268" s="5"/>
    </row>
    <row r="269" spans="3:8" x14ac:dyDescent="0.2">
      <c r="C269" s="5"/>
      <c r="D269" s="832"/>
      <c r="E269" s="832"/>
      <c r="F269" s="5"/>
      <c r="G269" s="5"/>
      <c r="H269" s="5"/>
    </row>
    <row r="270" spans="3:8" x14ac:dyDescent="0.2">
      <c r="C270" s="5"/>
      <c r="D270" s="832"/>
      <c r="E270" s="832"/>
      <c r="F270" s="5"/>
      <c r="G270" s="5"/>
      <c r="H270" s="5"/>
    </row>
    <row r="271" spans="3:8" x14ac:dyDescent="0.2">
      <c r="C271" s="5"/>
      <c r="D271" s="832"/>
      <c r="E271" s="832"/>
      <c r="F271" s="5"/>
      <c r="G271" s="5"/>
      <c r="H271" s="5"/>
    </row>
    <row r="272" spans="3:8" x14ac:dyDescent="0.2">
      <c r="C272" s="5"/>
      <c r="D272" s="832"/>
      <c r="E272" s="832"/>
      <c r="F272" s="5"/>
      <c r="G272" s="5"/>
      <c r="H272" s="5"/>
    </row>
    <row r="273" spans="3:8" x14ac:dyDescent="0.2">
      <c r="C273" s="5"/>
      <c r="D273" s="832"/>
      <c r="E273" s="832"/>
      <c r="F273" s="5"/>
      <c r="G273" s="5"/>
      <c r="H273" s="5"/>
    </row>
    <row r="274" spans="3:8" x14ac:dyDescent="0.2">
      <c r="C274" s="5"/>
      <c r="D274" s="832"/>
      <c r="E274" s="832"/>
      <c r="F274" s="5"/>
      <c r="G274" s="5"/>
      <c r="H274" s="5"/>
    </row>
    <row r="275" spans="3:8" x14ac:dyDescent="0.2">
      <c r="C275" s="5"/>
      <c r="D275" s="832"/>
      <c r="E275" s="832"/>
      <c r="F275" s="5"/>
      <c r="G275" s="5"/>
      <c r="H275" s="5"/>
    </row>
    <row r="276" spans="3:8" x14ac:dyDescent="0.2">
      <c r="C276" s="5"/>
      <c r="D276" s="832"/>
      <c r="E276" s="832"/>
      <c r="F276" s="5"/>
      <c r="G276" s="5"/>
      <c r="H276" s="5"/>
    </row>
    <row r="277" spans="3:8" x14ac:dyDescent="0.2">
      <c r="C277" s="5"/>
      <c r="D277" s="832"/>
      <c r="E277" s="832"/>
      <c r="F277" s="5"/>
      <c r="G277" s="5"/>
      <c r="H277" s="5"/>
    </row>
    <row r="278" spans="3:8" x14ac:dyDescent="0.2">
      <c r="C278" s="5"/>
      <c r="D278" s="832"/>
      <c r="E278" s="832"/>
      <c r="F278" s="5"/>
      <c r="G278" s="5"/>
      <c r="H278" s="5"/>
    </row>
    <row r="279" spans="3:8" x14ac:dyDescent="0.2">
      <c r="C279" s="5"/>
      <c r="D279" s="832"/>
      <c r="E279" s="832"/>
      <c r="F279" s="5"/>
      <c r="G279" s="5"/>
      <c r="H279" s="5"/>
    </row>
    <row r="280" spans="3:8" x14ac:dyDescent="0.2">
      <c r="C280" s="5"/>
      <c r="D280" s="832"/>
      <c r="E280" s="832"/>
      <c r="F280" s="5"/>
      <c r="G280" s="5"/>
      <c r="H280" s="5"/>
    </row>
    <row r="281" spans="3:8" x14ac:dyDescent="0.2">
      <c r="C281" s="5"/>
      <c r="D281" s="832"/>
      <c r="E281" s="832"/>
      <c r="F281" s="5"/>
      <c r="G281" s="5"/>
      <c r="H281" s="5"/>
    </row>
    <row r="282" spans="3:8" x14ac:dyDescent="0.2">
      <c r="C282" s="5"/>
      <c r="D282" s="832"/>
      <c r="E282" s="832"/>
      <c r="F282" s="5"/>
      <c r="G282" s="5"/>
      <c r="H282" s="5"/>
    </row>
    <row r="283" spans="3:8" x14ac:dyDescent="0.2">
      <c r="C283" s="5"/>
      <c r="D283" s="832"/>
      <c r="E283" s="832"/>
      <c r="F283" s="5"/>
      <c r="G283" s="5"/>
      <c r="H283" s="5"/>
    </row>
    <row r="284" spans="3:8" x14ac:dyDescent="0.2">
      <c r="C284" s="5"/>
      <c r="D284" s="832"/>
      <c r="E284" s="832"/>
      <c r="F284" s="5"/>
      <c r="G284" s="5"/>
      <c r="H284" s="5"/>
    </row>
    <row r="285" spans="3:8" x14ac:dyDescent="0.2">
      <c r="C285" s="5"/>
      <c r="D285" s="832"/>
      <c r="E285" s="832"/>
      <c r="F285" s="5"/>
      <c r="G285" s="5"/>
      <c r="H285" s="5"/>
    </row>
    <row r="286" spans="3:8" x14ac:dyDescent="0.2">
      <c r="C286" s="5"/>
      <c r="D286" s="832"/>
      <c r="E286" s="832"/>
      <c r="F286" s="5"/>
      <c r="G286" s="5"/>
      <c r="H286" s="5"/>
    </row>
    <row r="287" spans="3:8" x14ac:dyDescent="0.2">
      <c r="C287" s="5"/>
      <c r="D287" s="832"/>
      <c r="E287" s="832"/>
      <c r="F287" s="5"/>
      <c r="G287" s="5"/>
      <c r="H287" s="5"/>
    </row>
    <row r="288" spans="3:8" x14ac:dyDescent="0.2">
      <c r="C288" s="5"/>
      <c r="D288" s="832"/>
      <c r="E288" s="832"/>
      <c r="F288" s="5"/>
      <c r="G288" s="5"/>
      <c r="H288" s="5"/>
    </row>
    <row r="289" spans="3:8" x14ac:dyDescent="0.2">
      <c r="C289" s="5"/>
      <c r="D289" s="832"/>
      <c r="E289" s="832"/>
      <c r="F289" s="5"/>
      <c r="G289" s="5"/>
      <c r="H289" s="5"/>
    </row>
    <row r="290" spans="3:8" x14ac:dyDescent="0.2">
      <c r="C290" s="5"/>
      <c r="D290" s="832"/>
      <c r="E290" s="832"/>
      <c r="F290" s="5"/>
      <c r="G290" s="5"/>
      <c r="H290" s="5"/>
    </row>
    <row r="291" spans="3:8" x14ac:dyDescent="0.2">
      <c r="C291" s="5"/>
      <c r="D291" s="832"/>
      <c r="E291" s="832"/>
      <c r="F291" s="5"/>
      <c r="G291" s="5"/>
      <c r="H291" s="5"/>
    </row>
    <row r="292" spans="3:8" x14ac:dyDescent="0.2">
      <c r="C292" s="5"/>
      <c r="D292" s="832"/>
      <c r="E292" s="832"/>
      <c r="F292" s="5"/>
      <c r="G292" s="5"/>
      <c r="H292" s="5"/>
    </row>
    <row r="293" spans="3:8" x14ac:dyDescent="0.2">
      <c r="C293" s="5"/>
      <c r="D293" s="832"/>
      <c r="E293" s="832"/>
      <c r="F293" s="5"/>
      <c r="G293" s="5"/>
      <c r="H293" s="5"/>
    </row>
    <row r="294" spans="3:8" x14ac:dyDescent="0.2">
      <c r="C294" s="5"/>
      <c r="D294" s="832"/>
      <c r="E294" s="832"/>
      <c r="F294" s="5"/>
      <c r="G294" s="5"/>
      <c r="H294" s="5"/>
    </row>
    <row r="295" spans="3:8" x14ac:dyDescent="0.2">
      <c r="C295" s="5"/>
      <c r="D295" s="832"/>
      <c r="E295" s="832"/>
      <c r="F295" s="5"/>
      <c r="G295" s="5"/>
      <c r="H295" s="5"/>
    </row>
    <row r="296" spans="3:8" x14ac:dyDescent="0.2">
      <c r="C296" s="5"/>
      <c r="D296" s="832"/>
      <c r="E296" s="832"/>
      <c r="F296" s="5"/>
      <c r="G296" s="5"/>
      <c r="H296" s="5"/>
    </row>
    <row r="297" spans="3:8" x14ac:dyDescent="0.2">
      <c r="C297" s="5"/>
      <c r="D297" s="832"/>
      <c r="E297" s="832"/>
      <c r="F297" s="5"/>
      <c r="G297" s="5"/>
      <c r="H297" s="5"/>
    </row>
    <row r="298" spans="3:8" x14ac:dyDescent="0.2">
      <c r="C298" s="5"/>
      <c r="D298" s="832"/>
      <c r="E298" s="832"/>
      <c r="F298" s="5"/>
      <c r="G298" s="5"/>
      <c r="H298" s="5"/>
    </row>
    <row r="299" spans="3:8" x14ac:dyDescent="0.2">
      <c r="C299" s="5"/>
      <c r="D299" s="832"/>
      <c r="E299" s="832"/>
      <c r="F299" s="5"/>
      <c r="G299" s="5"/>
      <c r="H299" s="5"/>
    </row>
    <row r="300" spans="3:8" x14ac:dyDescent="0.2">
      <c r="C300" s="5"/>
      <c r="D300" s="832"/>
      <c r="E300" s="832"/>
      <c r="F300" s="5"/>
      <c r="G300" s="5"/>
      <c r="H300" s="5"/>
    </row>
    <row r="301" spans="3:8" x14ac:dyDescent="0.2">
      <c r="C301" s="5"/>
      <c r="D301" s="832"/>
      <c r="E301" s="832"/>
      <c r="F301" s="5"/>
      <c r="G301" s="5"/>
      <c r="H301" s="5"/>
    </row>
    <row r="302" spans="3:8" x14ac:dyDescent="0.2">
      <c r="C302" s="5"/>
      <c r="D302" s="832"/>
      <c r="E302" s="832"/>
      <c r="F302" s="5"/>
      <c r="G302" s="5"/>
      <c r="H302" s="5"/>
    </row>
    <row r="303" spans="3:8" x14ac:dyDescent="0.2">
      <c r="C303" s="5"/>
      <c r="D303" s="832"/>
      <c r="E303" s="832"/>
      <c r="F303" s="5"/>
      <c r="G303" s="5"/>
      <c r="H303" s="5"/>
    </row>
    <row r="304" spans="3:8" x14ac:dyDescent="0.2">
      <c r="C304" s="5"/>
      <c r="D304" s="832"/>
      <c r="E304" s="832"/>
      <c r="F304" s="5"/>
      <c r="G304" s="5"/>
      <c r="H304" s="5"/>
    </row>
    <row r="305" spans="3:8" x14ac:dyDescent="0.2">
      <c r="C305" s="5"/>
      <c r="D305" s="832"/>
      <c r="E305" s="832"/>
      <c r="F305" s="5"/>
      <c r="G305" s="5"/>
      <c r="H305" s="5"/>
    </row>
    <row r="306" spans="3:8" x14ac:dyDescent="0.2">
      <c r="C306" s="5"/>
      <c r="D306" s="832"/>
      <c r="E306" s="832"/>
      <c r="F306" s="5"/>
      <c r="G306" s="5"/>
      <c r="H306" s="5"/>
    </row>
    <row r="307" spans="3:8" x14ac:dyDescent="0.2">
      <c r="C307" s="5"/>
      <c r="D307" s="832"/>
      <c r="E307" s="832"/>
      <c r="F307" s="5"/>
      <c r="G307" s="5"/>
      <c r="H307" s="5"/>
    </row>
    <row r="308" spans="3:8" x14ac:dyDescent="0.2">
      <c r="C308" s="5"/>
      <c r="D308" s="832"/>
      <c r="E308" s="832"/>
      <c r="F308" s="5"/>
      <c r="G308" s="5"/>
      <c r="H308" s="5"/>
    </row>
    <row r="309" spans="3:8" x14ac:dyDescent="0.2">
      <c r="C309" s="5"/>
      <c r="D309" s="832"/>
      <c r="E309" s="832"/>
      <c r="F309" s="5"/>
      <c r="G309" s="5"/>
      <c r="H309" s="5"/>
    </row>
    <row r="310" spans="3:8" x14ac:dyDescent="0.2">
      <c r="C310" s="5"/>
      <c r="D310" s="832"/>
      <c r="E310" s="832"/>
      <c r="F310" s="5"/>
      <c r="G310" s="5"/>
      <c r="H310" s="5"/>
    </row>
    <row r="311" spans="3:8" x14ac:dyDescent="0.2">
      <c r="C311" s="5"/>
      <c r="D311" s="832"/>
      <c r="E311" s="832"/>
      <c r="F311" s="5"/>
      <c r="G311" s="5"/>
      <c r="H311" s="5"/>
    </row>
    <row r="312" spans="3:8" x14ac:dyDescent="0.2">
      <c r="C312" s="5"/>
      <c r="D312" s="832"/>
      <c r="E312" s="832"/>
      <c r="F312" s="5"/>
      <c r="G312" s="5"/>
      <c r="H312" s="5"/>
    </row>
    <row r="313" spans="3:8" x14ac:dyDescent="0.2">
      <c r="C313" s="5"/>
      <c r="D313" s="832"/>
      <c r="E313" s="832"/>
      <c r="F313" s="5"/>
      <c r="G313" s="5"/>
      <c r="H313" s="5"/>
    </row>
    <row r="314" spans="3:8" x14ac:dyDescent="0.2">
      <c r="C314" s="5"/>
      <c r="D314" s="832"/>
      <c r="E314" s="832"/>
      <c r="F314" s="5"/>
      <c r="G314" s="5"/>
      <c r="H314" s="5"/>
    </row>
    <row r="315" spans="3:8" x14ac:dyDescent="0.2">
      <c r="C315" s="5"/>
      <c r="D315" s="832"/>
      <c r="E315" s="832"/>
      <c r="F315" s="5"/>
      <c r="G315" s="5"/>
      <c r="H315" s="5"/>
    </row>
    <row r="316" spans="3:8" x14ac:dyDescent="0.2">
      <c r="C316" s="5"/>
      <c r="D316" s="832"/>
      <c r="E316" s="832"/>
      <c r="F316" s="5"/>
      <c r="G316" s="5"/>
      <c r="H316" s="5"/>
    </row>
    <row r="317" spans="3:8" x14ac:dyDescent="0.2">
      <c r="C317" s="5"/>
      <c r="D317" s="832"/>
      <c r="E317" s="832"/>
      <c r="F317" s="5"/>
      <c r="G317" s="5"/>
      <c r="H317" s="5"/>
    </row>
    <row r="318" spans="3:8" x14ac:dyDescent="0.2">
      <c r="C318" s="5"/>
      <c r="D318" s="832"/>
      <c r="E318" s="832"/>
      <c r="F318" s="5"/>
      <c r="G318" s="5"/>
      <c r="H318" s="5"/>
    </row>
    <row r="319" spans="3:8" x14ac:dyDescent="0.2">
      <c r="C319" s="5"/>
      <c r="D319" s="832"/>
      <c r="E319" s="832"/>
      <c r="F319" s="5"/>
      <c r="G319" s="5"/>
      <c r="H319" s="5"/>
    </row>
    <row r="320" spans="3:8" x14ac:dyDescent="0.2">
      <c r="C320" s="5"/>
      <c r="D320" s="832"/>
      <c r="E320" s="832"/>
      <c r="F320" s="5"/>
      <c r="G320" s="5"/>
      <c r="H320" s="5"/>
    </row>
    <row r="321" spans="3:8" x14ac:dyDescent="0.2">
      <c r="C321" s="5"/>
      <c r="D321" s="832"/>
      <c r="E321" s="832"/>
      <c r="F321" s="5"/>
      <c r="G321" s="5"/>
      <c r="H321" s="5"/>
    </row>
    <row r="322" spans="3:8" x14ac:dyDescent="0.2">
      <c r="C322" s="5"/>
      <c r="D322" s="832"/>
      <c r="E322" s="832"/>
      <c r="F322" s="5"/>
      <c r="G322" s="5"/>
      <c r="H322" s="5"/>
    </row>
    <row r="323" spans="3:8" x14ac:dyDescent="0.2">
      <c r="C323" s="5"/>
      <c r="D323" s="832"/>
      <c r="E323" s="832"/>
      <c r="F323" s="5"/>
      <c r="G323" s="5"/>
      <c r="H323" s="5"/>
    </row>
    <row r="324" spans="3:8" x14ac:dyDescent="0.2">
      <c r="C324" s="5"/>
      <c r="D324" s="832"/>
      <c r="E324" s="832"/>
      <c r="F324" s="5"/>
      <c r="G324" s="5"/>
      <c r="H324" s="5"/>
    </row>
    <row r="325" spans="3:8" x14ac:dyDescent="0.2">
      <c r="C325" s="5"/>
      <c r="D325" s="832"/>
      <c r="E325" s="832"/>
      <c r="F325" s="5"/>
      <c r="G325" s="5"/>
      <c r="H325" s="5"/>
    </row>
    <row r="326" spans="3:8" x14ac:dyDescent="0.2">
      <c r="C326" s="5"/>
      <c r="D326" s="832"/>
      <c r="E326" s="832"/>
      <c r="F326" s="5"/>
      <c r="G326" s="5"/>
      <c r="H326" s="5"/>
    </row>
    <row r="327" spans="3:8" x14ac:dyDescent="0.2">
      <c r="C327" s="5"/>
      <c r="D327" s="832"/>
      <c r="E327" s="832"/>
      <c r="F327" s="5"/>
      <c r="G327" s="5"/>
      <c r="H327" s="5"/>
    </row>
    <row r="328" spans="3:8" x14ac:dyDescent="0.2">
      <c r="C328" s="5"/>
      <c r="D328" s="832"/>
      <c r="E328" s="832"/>
      <c r="F328" s="5"/>
      <c r="G328" s="5"/>
      <c r="H328" s="5"/>
    </row>
    <row r="329" spans="3:8" x14ac:dyDescent="0.2">
      <c r="C329" s="5"/>
      <c r="D329" s="832"/>
      <c r="E329" s="832"/>
      <c r="F329" s="5"/>
      <c r="G329" s="5"/>
      <c r="H329" s="5"/>
    </row>
    <row r="330" spans="3:8" x14ac:dyDescent="0.2">
      <c r="C330" s="5"/>
      <c r="D330" s="832"/>
      <c r="E330" s="832"/>
      <c r="F330" s="5"/>
      <c r="G330" s="5"/>
      <c r="H330" s="5"/>
    </row>
    <row r="331" spans="3:8" x14ac:dyDescent="0.2">
      <c r="C331" s="5"/>
      <c r="D331" s="832"/>
      <c r="E331" s="832"/>
      <c r="F331" s="5"/>
      <c r="G331" s="5"/>
      <c r="H331" s="5"/>
    </row>
    <row r="332" spans="3:8" x14ac:dyDescent="0.2">
      <c r="C332" s="5"/>
      <c r="D332" s="832"/>
      <c r="E332" s="832"/>
      <c r="F332" s="5"/>
      <c r="G332" s="5"/>
      <c r="H332" s="5"/>
    </row>
    <row r="333" spans="3:8" x14ac:dyDescent="0.2">
      <c r="C333" s="5"/>
      <c r="D333" s="832"/>
      <c r="E333" s="832"/>
      <c r="F333" s="5"/>
      <c r="G333" s="5"/>
      <c r="H333" s="5"/>
    </row>
    <row r="334" spans="3:8" x14ac:dyDescent="0.2">
      <c r="C334" s="5"/>
      <c r="D334" s="832"/>
      <c r="E334" s="832"/>
      <c r="F334" s="5"/>
      <c r="G334" s="5"/>
      <c r="H334" s="5"/>
    </row>
    <row r="335" spans="3:8" x14ac:dyDescent="0.2">
      <c r="C335" s="5"/>
      <c r="D335" s="832"/>
      <c r="E335" s="832"/>
      <c r="F335" s="5"/>
      <c r="G335" s="5"/>
      <c r="H335" s="5"/>
    </row>
    <row r="336" spans="3:8" x14ac:dyDescent="0.2">
      <c r="C336" s="5"/>
      <c r="D336" s="832"/>
      <c r="E336" s="832"/>
      <c r="F336" s="5"/>
      <c r="G336" s="5"/>
      <c r="H336" s="5"/>
    </row>
    <row r="337" spans="3:8" x14ac:dyDescent="0.2">
      <c r="C337" s="5"/>
      <c r="D337" s="832"/>
      <c r="E337" s="832"/>
      <c r="F337" s="5"/>
      <c r="G337" s="5"/>
      <c r="H337" s="5"/>
    </row>
    <row r="338" spans="3:8" x14ac:dyDescent="0.2">
      <c r="C338" s="5"/>
      <c r="D338" s="832"/>
      <c r="E338" s="832"/>
      <c r="F338" s="5"/>
      <c r="G338" s="5"/>
      <c r="H338" s="5"/>
    </row>
    <row r="339" spans="3:8" x14ac:dyDescent="0.2">
      <c r="C339" s="5"/>
      <c r="D339" s="832"/>
      <c r="E339" s="832"/>
      <c r="F339" s="5"/>
      <c r="G339" s="5"/>
      <c r="H339" s="5"/>
    </row>
    <row r="340" spans="3:8" x14ac:dyDescent="0.2">
      <c r="C340" s="5"/>
      <c r="D340" s="832"/>
      <c r="E340" s="832"/>
      <c r="F340" s="5"/>
      <c r="G340" s="5"/>
      <c r="H340" s="5"/>
    </row>
    <row r="341" spans="3:8" x14ac:dyDescent="0.2">
      <c r="C341" s="5"/>
      <c r="D341" s="832"/>
      <c r="E341" s="832"/>
      <c r="F341" s="5"/>
      <c r="G341" s="5"/>
      <c r="H341" s="5"/>
    </row>
    <row r="342" spans="3:8" x14ac:dyDescent="0.2">
      <c r="C342" s="5"/>
      <c r="D342" s="832"/>
      <c r="E342" s="832"/>
      <c r="F342" s="5"/>
      <c r="G342" s="5"/>
      <c r="H342" s="5"/>
    </row>
    <row r="343" spans="3:8" x14ac:dyDescent="0.2">
      <c r="C343" s="5"/>
      <c r="D343" s="832"/>
      <c r="E343" s="832"/>
      <c r="F343" s="5"/>
      <c r="G343" s="5"/>
      <c r="H343" s="5"/>
    </row>
    <row r="344" spans="3:8" x14ac:dyDescent="0.2">
      <c r="C344" s="5"/>
      <c r="D344" s="832"/>
      <c r="E344" s="832"/>
      <c r="F344" s="5"/>
      <c r="G344" s="5"/>
      <c r="H344" s="5"/>
    </row>
    <row r="345" spans="3:8" x14ac:dyDescent="0.2">
      <c r="C345" s="5"/>
      <c r="D345" s="832"/>
      <c r="E345" s="832"/>
      <c r="F345" s="5"/>
      <c r="G345" s="5"/>
      <c r="H345" s="5"/>
    </row>
    <row r="346" spans="3:8" x14ac:dyDescent="0.2">
      <c r="C346" s="5"/>
      <c r="D346" s="832"/>
      <c r="E346" s="832"/>
      <c r="F346" s="5"/>
      <c r="G346" s="5"/>
      <c r="H346" s="5"/>
    </row>
    <row r="347" spans="3:8" x14ac:dyDescent="0.2">
      <c r="C347" s="5"/>
      <c r="D347" s="832"/>
      <c r="E347" s="832"/>
      <c r="F347" s="5"/>
      <c r="G347" s="5"/>
      <c r="H347" s="5"/>
    </row>
    <row r="348" spans="3:8" x14ac:dyDescent="0.2">
      <c r="C348" s="5"/>
      <c r="D348" s="832"/>
      <c r="E348" s="832"/>
      <c r="F348" s="5"/>
      <c r="G348" s="5"/>
      <c r="H348" s="5"/>
    </row>
    <row r="349" spans="3:8" x14ac:dyDescent="0.2">
      <c r="C349" s="5"/>
      <c r="D349" s="832"/>
      <c r="E349" s="832"/>
      <c r="F349" s="5"/>
      <c r="G349" s="5"/>
      <c r="H349" s="5"/>
    </row>
    <row r="350" spans="3:8" x14ac:dyDescent="0.2">
      <c r="C350" s="5"/>
      <c r="D350" s="832"/>
      <c r="E350" s="832"/>
      <c r="F350" s="5"/>
      <c r="G350" s="5"/>
      <c r="H350" s="5"/>
    </row>
    <row r="351" spans="3:8" x14ac:dyDescent="0.2">
      <c r="C351" s="5"/>
      <c r="D351" s="832"/>
      <c r="E351" s="832"/>
      <c r="F351" s="5"/>
      <c r="G351" s="5"/>
      <c r="H351" s="5"/>
    </row>
    <row r="352" spans="3:8" x14ac:dyDescent="0.2">
      <c r="C352" s="5"/>
      <c r="D352" s="832"/>
      <c r="E352" s="832"/>
      <c r="F352" s="5"/>
      <c r="G352" s="5"/>
      <c r="H352" s="5"/>
    </row>
    <row r="353" spans="3:8" x14ac:dyDescent="0.2">
      <c r="C353" s="5"/>
      <c r="D353" s="832"/>
      <c r="E353" s="832"/>
      <c r="F353" s="5"/>
      <c r="G353" s="5"/>
      <c r="H353" s="5"/>
    </row>
    <row r="354" spans="3:8" x14ac:dyDescent="0.2">
      <c r="C354" s="5"/>
      <c r="D354" s="832"/>
      <c r="E354" s="832"/>
      <c r="F354" s="5"/>
      <c r="G354" s="5"/>
      <c r="H354" s="5"/>
    </row>
    <row r="355" spans="3:8" x14ac:dyDescent="0.2">
      <c r="C355" s="5"/>
      <c r="D355" s="832"/>
      <c r="E355" s="832"/>
      <c r="F355" s="5"/>
      <c r="G355" s="5"/>
      <c r="H355" s="5"/>
    </row>
    <row r="356" spans="3:8" x14ac:dyDescent="0.2">
      <c r="C356" s="5"/>
      <c r="D356" s="832"/>
      <c r="E356" s="832"/>
      <c r="F356" s="5"/>
      <c r="G356" s="5"/>
      <c r="H356" s="5"/>
    </row>
    <row r="357" spans="3:8" x14ac:dyDescent="0.2">
      <c r="C357" s="5"/>
      <c r="D357" s="832"/>
      <c r="E357" s="832"/>
      <c r="F357" s="5"/>
      <c r="G357" s="5"/>
      <c r="H357" s="5"/>
    </row>
    <row r="358" spans="3:8" x14ac:dyDescent="0.2">
      <c r="C358" s="5"/>
      <c r="D358" s="832"/>
      <c r="E358" s="832"/>
      <c r="F358" s="5"/>
      <c r="G358" s="5"/>
      <c r="H358" s="5"/>
    </row>
    <row r="359" spans="3:8" x14ac:dyDescent="0.2">
      <c r="C359" s="5"/>
      <c r="D359" s="832"/>
      <c r="E359" s="832"/>
      <c r="F359" s="5"/>
      <c r="G359" s="5"/>
      <c r="H359" s="5"/>
    </row>
    <row r="360" spans="3:8" x14ac:dyDescent="0.2">
      <c r="C360" s="5"/>
      <c r="D360" s="832"/>
      <c r="E360" s="832"/>
      <c r="F360" s="5"/>
      <c r="G360" s="5"/>
      <c r="H360" s="5"/>
    </row>
    <row r="361" spans="3:8" x14ac:dyDescent="0.2">
      <c r="C361" s="5"/>
      <c r="D361" s="832"/>
      <c r="E361" s="832"/>
      <c r="F361" s="5"/>
      <c r="G361" s="5"/>
      <c r="H361" s="5"/>
    </row>
    <row r="362" spans="3:8" x14ac:dyDescent="0.2">
      <c r="C362" s="5"/>
      <c r="D362" s="832"/>
      <c r="E362" s="832"/>
      <c r="F362" s="5"/>
      <c r="G362" s="5"/>
      <c r="H362" s="5"/>
    </row>
    <row r="363" spans="3:8" x14ac:dyDescent="0.2">
      <c r="C363" s="5"/>
      <c r="D363" s="832"/>
      <c r="E363" s="832"/>
      <c r="F363" s="5"/>
      <c r="G363" s="5"/>
      <c r="H363" s="5"/>
    </row>
    <row r="364" spans="3:8" x14ac:dyDescent="0.2">
      <c r="C364" s="5"/>
      <c r="D364" s="832"/>
      <c r="E364" s="832"/>
      <c r="F364" s="5"/>
      <c r="G364" s="5"/>
      <c r="H364" s="5"/>
    </row>
    <row r="365" spans="3:8" x14ac:dyDescent="0.2">
      <c r="C365" s="5"/>
      <c r="D365" s="832"/>
      <c r="E365" s="832"/>
      <c r="F365" s="5"/>
      <c r="G365" s="5"/>
      <c r="H365" s="5"/>
    </row>
    <row r="366" spans="3:8" x14ac:dyDescent="0.2">
      <c r="C366" s="5"/>
      <c r="D366" s="832"/>
      <c r="E366" s="832"/>
      <c r="F366" s="5"/>
      <c r="G366" s="5"/>
      <c r="H366" s="5"/>
    </row>
    <row r="367" spans="3:8" x14ac:dyDescent="0.2">
      <c r="C367" s="5"/>
      <c r="D367" s="832"/>
      <c r="E367" s="832"/>
      <c r="F367" s="5"/>
      <c r="G367" s="5"/>
      <c r="H367" s="5"/>
    </row>
    <row r="368" spans="3:8" x14ac:dyDescent="0.2">
      <c r="C368" s="5"/>
      <c r="D368" s="832"/>
      <c r="E368" s="832"/>
      <c r="F368" s="5"/>
      <c r="G368" s="5"/>
      <c r="H368" s="5"/>
    </row>
    <row r="369" spans="3:8" x14ac:dyDescent="0.2">
      <c r="C369" s="5"/>
      <c r="D369" s="832"/>
      <c r="E369" s="832"/>
      <c r="F369" s="5"/>
      <c r="G369" s="5"/>
      <c r="H369" s="5"/>
    </row>
    <row r="370" spans="3:8" x14ac:dyDescent="0.2">
      <c r="C370" s="5"/>
      <c r="D370" s="832"/>
      <c r="E370" s="832"/>
      <c r="F370" s="5"/>
      <c r="G370" s="5"/>
      <c r="H370" s="5"/>
    </row>
    <row r="371" spans="3:8" x14ac:dyDescent="0.2">
      <c r="C371" s="5"/>
      <c r="D371" s="832"/>
      <c r="E371" s="832"/>
      <c r="F371" s="5"/>
      <c r="G371" s="5"/>
      <c r="H371" s="5"/>
    </row>
    <row r="372" spans="3:8" x14ac:dyDescent="0.2">
      <c r="C372" s="5"/>
      <c r="D372" s="832"/>
      <c r="E372" s="832"/>
      <c r="F372" s="5"/>
      <c r="G372" s="5"/>
      <c r="H372" s="5"/>
    </row>
    <row r="373" spans="3:8" x14ac:dyDescent="0.2">
      <c r="C373" s="5"/>
      <c r="D373" s="832"/>
      <c r="E373" s="832"/>
      <c r="F373" s="5"/>
      <c r="G373" s="5"/>
      <c r="H373" s="5"/>
    </row>
    <row r="374" spans="3:8" x14ac:dyDescent="0.2">
      <c r="C374" s="5"/>
      <c r="D374" s="832"/>
      <c r="E374" s="832"/>
      <c r="F374" s="5"/>
      <c r="G374" s="5"/>
      <c r="H374" s="5"/>
    </row>
    <row r="375" spans="3:8" x14ac:dyDescent="0.2">
      <c r="C375" s="5"/>
      <c r="D375" s="832"/>
      <c r="E375" s="832"/>
      <c r="F375" s="5"/>
      <c r="G375" s="5"/>
      <c r="H375" s="5"/>
    </row>
    <row r="376" spans="3:8" x14ac:dyDescent="0.2">
      <c r="C376" s="5"/>
      <c r="D376" s="832"/>
      <c r="E376" s="832"/>
      <c r="F376" s="5"/>
      <c r="G376" s="5"/>
      <c r="H376" s="5"/>
    </row>
    <row r="377" spans="3:8" x14ac:dyDescent="0.2">
      <c r="C377" s="5"/>
      <c r="D377" s="832"/>
      <c r="E377" s="832"/>
      <c r="F377" s="5"/>
      <c r="G377" s="5"/>
      <c r="H377" s="5"/>
    </row>
    <row r="378" spans="3:8" x14ac:dyDescent="0.2">
      <c r="C378" s="5"/>
      <c r="D378" s="832"/>
      <c r="E378" s="832"/>
      <c r="F378" s="5"/>
      <c r="G378" s="5"/>
      <c r="H378" s="5"/>
    </row>
    <row r="379" spans="3:8" x14ac:dyDescent="0.2">
      <c r="C379" s="5"/>
      <c r="D379" s="832"/>
      <c r="E379" s="832"/>
      <c r="F379" s="5"/>
      <c r="G379" s="5"/>
      <c r="H379" s="5"/>
    </row>
    <row r="380" spans="3:8" x14ac:dyDescent="0.2">
      <c r="C380" s="5"/>
      <c r="D380" s="832"/>
      <c r="E380" s="832"/>
      <c r="F380" s="5"/>
      <c r="G380" s="5"/>
      <c r="H380" s="5"/>
    </row>
    <row r="381" spans="3:8" x14ac:dyDescent="0.2">
      <c r="C381" s="5"/>
      <c r="D381" s="832"/>
      <c r="E381" s="832"/>
      <c r="F381" s="5"/>
      <c r="G381" s="5"/>
      <c r="H381" s="5"/>
    </row>
    <row r="382" spans="3:8" x14ac:dyDescent="0.2">
      <c r="C382" s="5"/>
      <c r="D382" s="832"/>
      <c r="E382" s="832"/>
      <c r="F382" s="5"/>
      <c r="G382" s="5"/>
      <c r="H382" s="5"/>
    </row>
    <row r="383" spans="3:8" x14ac:dyDescent="0.2">
      <c r="C383" s="5"/>
      <c r="D383" s="832"/>
      <c r="E383" s="832"/>
      <c r="F383" s="5"/>
      <c r="G383" s="5"/>
      <c r="H383" s="5"/>
    </row>
    <row r="384" spans="3:8" x14ac:dyDescent="0.2">
      <c r="C384" s="5"/>
      <c r="D384" s="832"/>
      <c r="E384" s="832"/>
      <c r="F384" s="5"/>
      <c r="G384" s="5"/>
      <c r="H384" s="5"/>
    </row>
    <row r="385" spans="3:8" x14ac:dyDescent="0.2">
      <c r="C385" s="5"/>
      <c r="D385" s="832"/>
      <c r="E385" s="832"/>
      <c r="F385" s="5"/>
      <c r="G385" s="5"/>
      <c r="H385" s="5"/>
    </row>
    <row r="386" spans="3:8" x14ac:dyDescent="0.2">
      <c r="C386" s="5"/>
      <c r="D386" s="832"/>
      <c r="E386" s="832"/>
      <c r="F386" s="5"/>
      <c r="G386" s="5"/>
      <c r="H386" s="5"/>
    </row>
    <row r="387" spans="3:8" x14ac:dyDescent="0.2">
      <c r="C387" s="5"/>
      <c r="D387" s="832"/>
      <c r="E387" s="832"/>
      <c r="F387" s="5"/>
      <c r="G387" s="5"/>
      <c r="H387" s="5"/>
    </row>
    <row r="388" spans="3:8" x14ac:dyDescent="0.2">
      <c r="C388" s="5"/>
      <c r="D388" s="832"/>
      <c r="E388" s="832"/>
      <c r="F388" s="5"/>
      <c r="G388" s="5"/>
      <c r="H388" s="5"/>
    </row>
    <row r="389" spans="3:8" x14ac:dyDescent="0.2">
      <c r="C389" s="5"/>
      <c r="D389" s="832"/>
      <c r="E389" s="832"/>
      <c r="F389" s="5"/>
      <c r="G389" s="5"/>
      <c r="H389" s="5"/>
    </row>
    <row r="390" spans="3:8" x14ac:dyDescent="0.2">
      <c r="C390" s="5"/>
      <c r="D390" s="832"/>
      <c r="E390" s="832"/>
      <c r="F390" s="5"/>
      <c r="G390" s="5"/>
      <c r="H390" s="5"/>
    </row>
    <row r="391" spans="3:8" x14ac:dyDescent="0.2">
      <c r="C391" s="5"/>
      <c r="D391" s="832"/>
      <c r="E391" s="832"/>
      <c r="F391" s="5"/>
      <c r="G391" s="5"/>
      <c r="H391" s="5"/>
    </row>
    <row r="392" spans="3:8" x14ac:dyDescent="0.2">
      <c r="C392" s="5"/>
      <c r="D392" s="832"/>
      <c r="E392" s="832"/>
      <c r="F392" s="5"/>
      <c r="G392" s="5"/>
      <c r="H392" s="5"/>
    </row>
    <row r="393" spans="3:8" x14ac:dyDescent="0.2">
      <c r="C393" s="5"/>
      <c r="D393" s="832"/>
      <c r="E393" s="832"/>
      <c r="F393" s="5"/>
      <c r="G393" s="5"/>
      <c r="H393" s="5"/>
    </row>
    <row r="394" spans="3:8" x14ac:dyDescent="0.2">
      <c r="C394" s="5"/>
      <c r="D394" s="832"/>
      <c r="E394" s="832"/>
      <c r="F394" s="5"/>
      <c r="G394" s="5"/>
      <c r="H394" s="5"/>
    </row>
    <row r="395" spans="3:8" x14ac:dyDescent="0.2">
      <c r="C395" s="5"/>
      <c r="D395" s="832"/>
      <c r="E395" s="832"/>
      <c r="F395" s="5"/>
      <c r="G395" s="5"/>
      <c r="H395" s="5"/>
    </row>
    <row r="396" spans="3:8" x14ac:dyDescent="0.2">
      <c r="C396" s="5"/>
      <c r="D396" s="832"/>
      <c r="E396" s="832"/>
      <c r="F396" s="5"/>
      <c r="G396" s="5"/>
      <c r="H396" s="5"/>
    </row>
    <row r="397" spans="3:8" x14ac:dyDescent="0.2">
      <c r="C397" s="5"/>
      <c r="D397" s="832"/>
      <c r="E397" s="832"/>
      <c r="F397" s="5"/>
      <c r="G397" s="5"/>
      <c r="H397" s="5"/>
    </row>
    <row r="398" spans="3:8" x14ac:dyDescent="0.2">
      <c r="C398" s="5"/>
      <c r="D398" s="832"/>
      <c r="E398" s="832"/>
      <c r="F398" s="5"/>
      <c r="G398" s="5"/>
      <c r="H398" s="5"/>
    </row>
    <row r="399" spans="3:8" x14ac:dyDescent="0.2">
      <c r="C399" s="5"/>
      <c r="D399" s="832"/>
      <c r="E399" s="832"/>
      <c r="F399" s="5"/>
      <c r="G399" s="5"/>
      <c r="H399" s="5"/>
    </row>
    <row r="400" spans="3:8" x14ac:dyDescent="0.2">
      <c r="C400" s="5"/>
      <c r="D400" s="832"/>
      <c r="E400" s="832"/>
      <c r="F400" s="5"/>
      <c r="G400" s="5"/>
      <c r="H400" s="5"/>
    </row>
    <row r="401" spans="3:8" x14ac:dyDescent="0.2">
      <c r="C401" s="5"/>
      <c r="D401" s="832"/>
      <c r="E401" s="832"/>
      <c r="F401" s="5"/>
      <c r="G401" s="5"/>
      <c r="H401" s="5"/>
    </row>
    <row r="402" spans="3:8" x14ac:dyDescent="0.2">
      <c r="C402" s="5"/>
      <c r="D402" s="832"/>
      <c r="E402" s="832"/>
      <c r="F402" s="5"/>
      <c r="G402" s="5"/>
      <c r="H402" s="5"/>
    </row>
    <row r="403" spans="3:8" x14ac:dyDescent="0.2">
      <c r="C403" s="5"/>
      <c r="D403" s="832"/>
      <c r="E403" s="832"/>
      <c r="F403" s="5"/>
      <c r="G403" s="5"/>
      <c r="H403" s="5"/>
    </row>
    <row r="404" spans="3:8" x14ac:dyDescent="0.2">
      <c r="C404" s="5"/>
      <c r="D404" s="832"/>
      <c r="E404" s="832"/>
      <c r="F404" s="5"/>
      <c r="G404" s="5"/>
      <c r="H404" s="5"/>
    </row>
    <row r="405" spans="3:8" x14ac:dyDescent="0.2">
      <c r="C405" s="5"/>
      <c r="D405" s="832"/>
      <c r="E405" s="832"/>
      <c r="F405" s="5"/>
      <c r="G405" s="5"/>
      <c r="H405" s="5"/>
    </row>
    <row r="406" spans="3:8" x14ac:dyDescent="0.2">
      <c r="C406" s="5"/>
      <c r="D406" s="832"/>
      <c r="E406" s="832"/>
      <c r="F406" s="5"/>
      <c r="G406" s="5"/>
      <c r="H406" s="5"/>
    </row>
    <row r="407" spans="3:8" x14ac:dyDescent="0.2">
      <c r="C407" s="5"/>
      <c r="D407" s="832"/>
      <c r="E407" s="832"/>
      <c r="F407" s="5"/>
      <c r="G407" s="5"/>
      <c r="H407" s="5"/>
    </row>
    <row r="408" spans="3:8" x14ac:dyDescent="0.2">
      <c r="C408" s="5"/>
      <c r="D408" s="832"/>
      <c r="E408" s="832"/>
      <c r="F408" s="5"/>
      <c r="G408" s="5"/>
      <c r="H408" s="5"/>
    </row>
    <row r="409" spans="3:8" x14ac:dyDescent="0.2">
      <c r="C409" s="5"/>
      <c r="D409" s="832"/>
      <c r="E409" s="832"/>
      <c r="F409" s="5"/>
      <c r="G409" s="5"/>
      <c r="H409" s="5"/>
    </row>
    <row r="410" spans="3:8" x14ac:dyDescent="0.2">
      <c r="C410" s="5"/>
      <c r="D410" s="832"/>
      <c r="E410" s="832"/>
      <c r="F410" s="5"/>
      <c r="G410" s="5"/>
      <c r="H410" s="5"/>
    </row>
    <row r="411" spans="3:8" x14ac:dyDescent="0.2">
      <c r="C411" s="5"/>
      <c r="D411" s="832"/>
      <c r="E411" s="832"/>
      <c r="F411" s="5"/>
      <c r="G411" s="5"/>
      <c r="H411" s="5"/>
    </row>
    <row r="412" spans="3:8" x14ac:dyDescent="0.2">
      <c r="C412" s="5"/>
      <c r="D412" s="832"/>
      <c r="E412" s="832"/>
      <c r="F412" s="5"/>
      <c r="G412" s="5"/>
      <c r="H412" s="5"/>
    </row>
    <row r="413" spans="3:8" x14ac:dyDescent="0.2">
      <c r="C413" s="5"/>
      <c r="D413" s="832"/>
      <c r="E413" s="832"/>
      <c r="F413" s="5"/>
      <c r="G413" s="5"/>
      <c r="H413" s="5"/>
    </row>
    <row r="414" spans="3:8" x14ac:dyDescent="0.2">
      <c r="C414" s="5"/>
      <c r="D414" s="832"/>
      <c r="E414" s="832"/>
      <c r="F414" s="5"/>
      <c r="G414" s="5"/>
      <c r="H414" s="5"/>
    </row>
    <row r="415" spans="3:8" x14ac:dyDescent="0.2">
      <c r="C415" s="5"/>
      <c r="D415" s="832"/>
      <c r="E415" s="832"/>
      <c r="F415" s="5"/>
      <c r="G415" s="5"/>
      <c r="H415" s="5"/>
    </row>
    <row r="416" spans="3:8" x14ac:dyDescent="0.2">
      <c r="C416" s="5"/>
      <c r="D416" s="832"/>
      <c r="E416" s="832"/>
      <c r="F416" s="5"/>
      <c r="G416" s="5"/>
      <c r="H416" s="5"/>
    </row>
    <row r="417" spans="3:8" x14ac:dyDescent="0.2">
      <c r="C417" s="5"/>
      <c r="D417" s="832"/>
      <c r="E417" s="832"/>
      <c r="F417" s="5"/>
      <c r="G417" s="5"/>
      <c r="H417" s="5"/>
    </row>
    <row r="418" spans="3:8" x14ac:dyDescent="0.2">
      <c r="C418" s="5"/>
      <c r="D418" s="832"/>
      <c r="E418" s="832"/>
      <c r="F418" s="5"/>
      <c r="G418" s="5"/>
      <c r="H418" s="5"/>
    </row>
    <row r="419" spans="3:8" x14ac:dyDescent="0.2">
      <c r="C419" s="5"/>
      <c r="D419" s="832"/>
      <c r="E419" s="832"/>
      <c r="F419" s="5"/>
      <c r="G419" s="5"/>
      <c r="H419" s="5"/>
    </row>
    <row r="420" spans="3:8" x14ac:dyDescent="0.2">
      <c r="C420" s="5"/>
      <c r="D420" s="832"/>
      <c r="E420" s="832"/>
      <c r="F420" s="5"/>
      <c r="G420" s="5"/>
      <c r="H420" s="5"/>
    </row>
    <row r="421" spans="3:8" x14ac:dyDescent="0.2">
      <c r="C421" s="5"/>
      <c r="D421" s="832"/>
      <c r="E421" s="832"/>
      <c r="F421" s="5"/>
      <c r="G421" s="5"/>
      <c r="H421" s="5"/>
    </row>
    <row r="422" spans="3:8" x14ac:dyDescent="0.2">
      <c r="C422" s="5"/>
      <c r="D422" s="832"/>
      <c r="E422" s="832"/>
      <c r="F422" s="5"/>
      <c r="G422" s="5"/>
      <c r="H422" s="5"/>
    </row>
    <row r="423" spans="3:8" x14ac:dyDescent="0.2">
      <c r="C423" s="5"/>
      <c r="D423" s="832"/>
      <c r="E423" s="832"/>
      <c r="F423" s="5"/>
      <c r="G423" s="5"/>
      <c r="H423" s="5"/>
    </row>
    <row r="424" spans="3:8" x14ac:dyDescent="0.2">
      <c r="C424" s="5"/>
      <c r="D424" s="832"/>
      <c r="E424" s="832"/>
      <c r="F424" s="5"/>
      <c r="G424" s="5"/>
      <c r="H424" s="5"/>
    </row>
    <row r="425" spans="3:8" x14ac:dyDescent="0.2">
      <c r="C425" s="5"/>
      <c r="D425" s="832"/>
      <c r="E425" s="832"/>
      <c r="F425" s="5"/>
      <c r="G425" s="5"/>
      <c r="H425" s="5"/>
    </row>
    <row r="426" spans="3:8" x14ac:dyDescent="0.2">
      <c r="C426" s="5"/>
      <c r="D426" s="832"/>
      <c r="E426" s="832"/>
      <c r="F426" s="5"/>
      <c r="G426" s="5"/>
      <c r="H426" s="5"/>
    </row>
    <row r="427" spans="3:8" x14ac:dyDescent="0.2">
      <c r="C427" s="5"/>
      <c r="D427" s="832"/>
      <c r="E427" s="832"/>
      <c r="F427" s="5"/>
      <c r="G427" s="5"/>
      <c r="H427" s="5"/>
    </row>
    <row r="428" spans="3:8" x14ac:dyDescent="0.2">
      <c r="C428" s="5"/>
      <c r="D428" s="832"/>
      <c r="E428" s="832"/>
      <c r="F428" s="5"/>
      <c r="G428" s="5"/>
      <c r="H428" s="5"/>
    </row>
    <row r="429" spans="3:8" x14ac:dyDescent="0.2">
      <c r="C429" s="5"/>
      <c r="D429" s="832"/>
      <c r="E429" s="832"/>
      <c r="F429" s="5"/>
      <c r="G429" s="5"/>
      <c r="H429" s="5"/>
    </row>
    <row r="430" spans="3:8" x14ac:dyDescent="0.2">
      <c r="C430" s="5"/>
      <c r="D430" s="832"/>
      <c r="E430" s="832"/>
      <c r="F430" s="5"/>
      <c r="G430" s="5"/>
      <c r="H430" s="5"/>
    </row>
    <row r="431" spans="3:8" x14ac:dyDescent="0.2">
      <c r="C431" s="5"/>
      <c r="D431" s="832"/>
      <c r="E431" s="832"/>
      <c r="F431" s="5"/>
      <c r="G431" s="5"/>
      <c r="H431" s="5"/>
    </row>
    <row r="432" spans="3:8" x14ac:dyDescent="0.2">
      <c r="C432" s="5"/>
      <c r="D432" s="832"/>
      <c r="E432" s="832"/>
      <c r="F432" s="5"/>
      <c r="G432" s="5"/>
      <c r="H432" s="5"/>
    </row>
    <row r="433" spans="3:8" x14ac:dyDescent="0.2">
      <c r="C433" s="5"/>
      <c r="D433" s="832"/>
      <c r="E433" s="832"/>
      <c r="F433" s="5"/>
      <c r="G433" s="5"/>
      <c r="H433" s="5"/>
    </row>
    <row r="434" spans="3:8" x14ac:dyDescent="0.2">
      <c r="C434" s="5"/>
      <c r="D434" s="832"/>
      <c r="E434" s="832"/>
      <c r="F434" s="5"/>
      <c r="G434" s="5"/>
      <c r="H434" s="5"/>
    </row>
    <row r="435" spans="3:8" x14ac:dyDescent="0.2">
      <c r="C435" s="5"/>
      <c r="D435" s="832"/>
      <c r="E435" s="832"/>
      <c r="F435" s="5"/>
      <c r="G435" s="5"/>
      <c r="H435" s="5"/>
    </row>
    <row r="436" spans="3:8" x14ac:dyDescent="0.2">
      <c r="C436" s="5"/>
      <c r="D436" s="832"/>
      <c r="E436" s="832"/>
      <c r="F436" s="5"/>
      <c r="G436" s="5"/>
      <c r="H436" s="5"/>
    </row>
    <row r="437" spans="3:8" x14ac:dyDescent="0.2">
      <c r="C437" s="5"/>
      <c r="D437" s="832"/>
      <c r="E437" s="832"/>
      <c r="F437" s="5"/>
      <c r="G437" s="5"/>
      <c r="H437" s="5"/>
    </row>
    <row r="438" spans="3:8" x14ac:dyDescent="0.2">
      <c r="C438" s="5"/>
      <c r="D438" s="832"/>
      <c r="E438" s="832"/>
      <c r="F438" s="5"/>
      <c r="G438" s="5"/>
      <c r="H438" s="5"/>
    </row>
    <row r="439" spans="3:8" x14ac:dyDescent="0.2">
      <c r="C439" s="5"/>
      <c r="D439" s="832"/>
      <c r="E439" s="832"/>
      <c r="F439" s="5"/>
      <c r="G439" s="5"/>
      <c r="H439" s="5"/>
    </row>
    <row r="440" spans="3:8" x14ac:dyDescent="0.2">
      <c r="C440" s="5"/>
      <c r="D440" s="832"/>
      <c r="E440" s="832"/>
      <c r="F440" s="5"/>
      <c r="G440" s="5"/>
      <c r="H440" s="5"/>
    </row>
  </sheetData>
  <mergeCells count="15">
    <mergeCell ref="F43:I43"/>
    <mergeCell ref="A42:H42"/>
    <mergeCell ref="B7:C7"/>
    <mergeCell ref="G27:H27"/>
    <mergeCell ref="C44:H44"/>
    <mergeCell ref="B9:H9"/>
    <mergeCell ref="B2:C2"/>
    <mergeCell ref="B3:C3"/>
    <mergeCell ref="B4:C4"/>
    <mergeCell ref="B6:C6"/>
    <mergeCell ref="C27:C28"/>
    <mergeCell ref="A11:H11"/>
    <mergeCell ref="A12:H12"/>
    <mergeCell ref="A23:H23"/>
    <mergeCell ref="C25:H25"/>
  </mergeCells>
  <phoneticPr fontId="7" type="noConversion"/>
  <printOptions horizontalCentered="1"/>
  <pageMargins left="0.94488188976377963" right="0.94488188976377963" top="0.51181102362204722" bottom="0.74803149606299213" header="0.35433070866141736" footer="0.51181102362204722"/>
  <pageSetup paperSize="9" scale="67" fitToHeight="0" orientation="landscape" useFirstPageNumber="1" r:id="rId1"/>
  <headerFooter alignWithMargins="0">
    <oddFooter>&amp;C-1-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showZeros="0" view="pageBreakPreview" zoomScale="80" zoomScaleNormal="80" zoomScaleSheetLayoutView="80" workbookViewId="0">
      <pane ySplit="6" topLeftCell="A127" activePane="bottomLeft" state="frozen"/>
      <selection pane="bottomLeft" activeCell="D143" sqref="D143"/>
    </sheetView>
  </sheetViews>
  <sheetFormatPr defaultColWidth="9.140625" defaultRowHeight="15" x14ac:dyDescent="0.2"/>
  <cols>
    <col min="1" max="1" width="10.28515625" style="201" customWidth="1"/>
    <col min="2" max="2" width="47.85546875" style="201" customWidth="1"/>
    <col min="3" max="3" width="15.28515625" style="201" customWidth="1"/>
    <col min="4" max="4" width="17.42578125" style="201" customWidth="1"/>
    <col min="5" max="5" width="13" style="284" customWidth="1"/>
    <col min="6" max="6" width="11.85546875" style="284" customWidth="1"/>
    <col min="7" max="8" width="12.28515625" style="284" customWidth="1"/>
    <col min="9" max="9" width="12.7109375" style="201" customWidth="1"/>
    <col min="10" max="10" width="12.28515625" style="201" customWidth="1"/>
    <col min="11" max="11" width="12.5703125" style="201" customWidth="1"/>
    <col min="12" max="12" width="17.140625" style="2" customWidth="1"/>
    <col min="13" max="13" width="17.5703125" style="2" customWidth="1"/>
    <col min="14" max="14" width="20.85546875" style="2" customWidth="1"/>
    <col min="15" max="15" width="9.140625" style="2"/>
    <col min="16" max="16" width="16.7109375" style="2" customWidth="1"/>
    <col min="17" max="16384" width="9.140625" style="2"/>
  </cols>
  <sheetData>
    <row r="1" spans="1:14" ht="18" x14ac:dyDescent="0.25">
      <c r="A1" s="535" t="s">
        <v>413</v>
      </c>
      <c r="E1" s="583">
        <f>'Izdaci '!E8</f>
        <v>11531432.85</v>
      </c>
      <c r="F1" s="583">
        <f>'Izdaci '!F8</f>
        <v>2633556</v>
      </c>
      <c r="G1" s="583">
        <f>'Izdaci '!G8</f>
        <v>9026326.9800000004</v>
      </c>
      <c r="H1" s="583">
        <f>'Izdaci '!H8</f>
        <v>3491051.68</v>
      </c>
      <c r="I1" s="584">
        <f>'Izdaci '!I8</f>
        <v>26682367.510000002</v>
      </c>
      <c r="J1" s="584">
        <f>'Izdaci '!J8</f>
        <v>21893904.449999999</v>
      </c>
      <c r="K1" s="584">
        <f>'Izdaci '!K8</f>
        <v>19772172.449999999</v>
      </c>
    </row>
    <row r="2" spans="1:14" ht="15" customHeight="1" thickBot="1" x14ac:dyDescent="0.25">
      <c r="A2" s="2"/>
      <c r="E2" s="281"/>
      <c r="F2" s="281"/>
      <c r="G2" s="281"/>
      <c r="H2" s="281"/>
      <c r="I2" s="644"/>
      <c r="J2" s="635">
        <f>J8-J1</f>
        <v>-0.44999999925494194</v>
      </c>
      <c r="K2" s="635">
        <f>K8-K1</f>
        <v>-0.44999999925494194</v>
      </c>
    </row>
    <row r="3" spans="1:14" ht="15" customHeight="1" x14ac:dyDescent="0.25">
      <c r="A3" s="534" t="s">
        <v>412</v>
      </c>
      <c r="B3" s="280"/>
      <c r="C3" s="280"/>
      <c r="D3" s="280"/>
      <c r="E3" s="1054" t="s">
        <v>913</v>
      </c>
      <c r="F3" s="1055"/>
      <c r="G3" s="1055"/>
      <c r="H3" s="1055"/>
      <c r="I3" s="1056"/>
      <c r="J3" s="636"/>
      <c r="K3" s="637" t="s">
        <v>394</v>
      </c>
    </row>
    <row r="4" spans="1:14" ht="31.5" customHeight="1" x14ac:dyDescent="0.25">
      <c r="A4" s="1052" t="s">
        <v>378</v>
      </c>
      <c r="B4" s="1057" t="s">
        <v>379</v>
      </c>
      <c r="C4" s="396" t="s">
        <v>952</v>
      </c>
      <c r="D4" s="396" t="s">
        <v>239</v>
      </c>
      <c r="E4" s="1061" t="s">
        <v>245</v>
      </c>
      <c r="F4" s="1063" t="s">
        <v>249</v>
      </c>
      <c r="G4" s="1063" t="s">
        <v>246</v>
      </c>
      <c r="H4" s="1063" t="s">
        <v>247</v>
      </c>
      <c r="I4" s="396" t="s">
        <v>239</v>
      </c>
      <c r="J4" s="1059" t="s">
        <v>72</v>
      </c>
      <c r="K4" s="1060"/>
      <c r="M4" s="2" t="s">
        <v>617</v>
      </c>
      <c r="N4" s="2">
        <f>7622000*60%</f>
        <v>4573200</v>
      </c>
    </row>
    <row r="5" spans="1:14" ht="51" customHeight="1" x14ac:dyDescent="0.2">
      <c r="A5" s="1053"/>
      <c r="B5" s="1058"/>
      <c r="C5" s="843" t="s">
        <v>951</v>
      </c>
      <c r="D5" s="397" t="s">
        <v>950</v>
      </c>
      <c r="E5" s="1062"/>
      <c r="F5" s="1064"/>
      <c r="G5" s="1064"/>
      <c r="H5" s="1064"/>
      <c r="I5" s="397" t="s">
        <v>918</v>
      </c>
      <c r="J5" s="379" t="s">
        <v>546</v>
      </c>
      <c r="K5" s="188" t="s">
        <v>914</v>
      </c>
      <c r="N5" s="2">
        <f>9554439-7622000</f>
        <v>1932439</v>
      </c>
    </row>
    <row r="6" spans="1:14" ht="13.5" customHeight="1" x14ac:dyDescent="0.25">
      <c r="A6" s="189">
        <v>1</v>
      </c>
      <c r="B6" s="189">
        <v>2</v>
      </c>
      <c r="C6" s="399">
        <v>3</v>
      </c>
      <c r="D6" s="399">
        <v>4</v>
      </c>
      <c r="E6" s="398">
        <v>5</v>
      </c>
      <c r="F6" s="189">
        <v>6</v>
      </c>
      <c r="G6" s="189">
        <v>7</v>
      </c>
      <c r="H6" s="189">
        <v>8</v>
      </c>
      <c r="I6" s="399">
        <v>9</v>
      </c>
      <c r="J6" s="378">
        <v>10</v>
      </c>
      <c r="K6" s="189">
        <v>11</v>
      </c>
    </row>
    <row r="7" spans="1:14" s="3" customFormat="1" ht="13.5" customHeight="1" x14ac:dyDescent="0.2">
      <c r="A7" s="190"/>
      <c r="B7" s="190"/>
      <c r="C7" s="643"/>
      <c r="D7" s="643"/>
      <c r="E7" s="638">
        <f>E8-E1</f>
        <v>0.15000000037252903</v>
      </c>
      <c r="F7" s="199">
        <f>F8-F1</f>
        <v>0</v>
      </c>
      <c r="G7" s="639">
        <f>G8-G1</f>
        <v>1.9999999552965164E-2</v>
      </c>
      <c r="H7" s="382"/>
      <c r="I7" s="643"/>
      <c r="J7" s="642"/>
      <c r="K7" s="640"/>
      <c r="L7" s="585"/>
      <c r="M7" s="585"/>
    </row>
    <row r="8" spans="1:14" ht="33" customHeight="1" x14ac:dyDescent="0.25">
      <c r="A8" s="189" t="s">
        <v>107</v>
      </c>
      <c r="B8" s="823" t="s">
        <v>931</v>
      </c>
      <c r="C8" s="400">
        <f>C10+C138+C142</f>
        <v>14988911</v>
      </c>
      <c r="D8" s="193">
        <f>D10+D138+D142</f>
        <v>23366886</v>
      </c>
      <c r="E8" s="400">
        <f t="shared" ref="E8:K8" si="0">E10+E138+E142</f>
        <v>11531433</v>
      </c>
      <c r="F8" s="400">
        <f t="shared" si="0"/>
        <v>2633556</v>
      </c>
      <c r="G8" s="400">
        <f t="shared" si="0"/>
        <v>9026327</v>
      </c>
      <c r="H8" s="400">
        <f t="shared" si="0"/>
        <v>3491051.68</v>
      </c>
      <c r="I8" s="400">
        <f t="shared" si="0"/>
        <v>26682367.68</v>
      </c>
      <c r="J8" s="400">
        <f t="shared" si="0"/>
        <v>21893904</v>
      </c>
      <c r="K8" s="400">
        <f t="shared" si="0"/>
        <v>19772172</v>
      </c>
      <c r="L8" s="2">
        <v>143</v>
      </c>
      <c r="M8" s="672" t="s">
        <v>559</v>
      </c>
    </row>
    <row r="9" spans="1:14" ht="9" customHeight="1" x14ac:dyDescent="0.25">
      <c r="A9" s="191"/>
      <c r="B9" s="194"/>
      <c r="C9" s="381"/>
      <c r="D9" s="195"/>
      <c r="E9" s="402"/>
      <c r="F9" s="195"/>
      <c r="G9" s="195"/>
      <c r="H9" s="195"/>
      <c r="I9" s="403"/>
      <c r="J9" s="381"/>
      <c r="K9" s="195"/>
    </row>
    <row r="10" spans="1:14" ht="18" customHeight="1" x14ac:dyDescent="0.25">
      <c r="A10" s="189" t="s">
        <v>107</v>
      </c>
      <c r="B10" s="192" t="s">
        <v>108</v>
      </c>
      <c r="C10" s="400">
        <f t="shared" ref="C10:K10" si="1">C12+C132</f>
        <v>13938911</v>
      </c>
      <c r="D10" s="193">
        <f t="shared" si="1"/>
        <v>18358563</v>
      </c>
      <c r="E10" s="400">
        <f t="shared" si="1"/>
        <v>10112516</v>
      </c>
      <c r="F10" s="400">
        <f t="shared" si="1"/>
        <v>0</v>
      </c>
      <c r="G10" s="400">
        <f t="shared" si="1"/>
        <v>7169969</v>
      </c>
      <c r="H10" s="400">
        <f t="shared" si="1"/>
        <v>3481052</v>
      </c>
      <c r="I10" s="400">
        <f t="shared" si="1"/>
        <v>20763537</v>
      </c>
      <c r="J10" s="400">
        <f t="shared" si="1"/>
        <v>18593036</v>
      </c>
      <c r="K10" s="400">
        <f t="shared" si="1"/>
        <v>18278672</v>
      </c>
      <c r="L10" s="2">
        <v>137</v>
      </c>
      <c r="M10" s="192" t="s">
        <v>260</v>
      </c>
    </row>
    <row r="11" spans="1:14" ht="9.75" customHeight="1" x14ac:dyDescent="0.25">
      <c r="A11" s="197"/>
      <c r="B11" s="198"/>
      <c r="C11" s="381"/>
      <c r="D11" s="195"/>
      <c r="E11" s="402"/>
      <c r="F11" s="195"/>
      <c r="G11" s="195"/>
      <c r="H11" s="195"/>
      <c r="I11" s="403"/>
      <c r="J11" s="381"/>
      <c r="K11" s="195"/>
    </row>
    <row r="12" spans="1:14" ht="14.25" customHeight="1" x14ac:dyDescent="0.25">
      <c r="A12" s="189">
        <v>700000</v>
      </c>
      <c r="B12" s="192" t="s">
        <v>930</v>
      </c>
      <c r="C12" s="380">
        <f t="shared" ref="C12:K12" si="2">C14+C54+C106+C122</f>
        <v>13748280</v>
      </c>
      <c r="D12" s="193">
        <f t="shared" si="2"/>
        <v>17848563</v>
      </c>
      <c r="E12" s="400">
        <f t="shared" si="2"/>
        <v>10112516</v>
      </c>
      <c r="F12" s="193">
        <f t="shared" si="2"/>
        <v>0</v>
      </c>
      <c r="G12" s="193">
        <f t="shared" si="2"/>
        <v>6659969</v>
      </c>
      <c r="H12" s="193">
        <f t="shared" si="2"/>
        <v>3481052</v>
      </c>
      <c r="I12" s="401">
        <f t="shared" si="2"/>
        <v>20253537</v>
      </c>
      <c r="J12" s="380">
        <f t="shared" si="2"/>
        <v>18293036</v>
      </c>
      <c r="K12" s="193">
        <f t="shared" si="2"/>
        <v>17978672</v>
      </c>
    </row>
    <row r="13" spans="1:14" ht="12.75" customHeight="1" x14ac:dyDescent="0.25">
      <c r="A13" s="197"/>
      <c r="B13" s="198"/>
      <c r="C13" s="381"/>
      <c r="D13" s="195"/>
      <c r="E13" s="402"/>
      <c r="F13" s="195"/>
      <c r="G13" s="195"/>
      <c r="H13" s="195"/>
      <c r="I13" s="403"/>
      <c r="J13" s="381"/>
      <c r="K13" s="195"/>
    </row>
    <row r="14" spans="1:14" ht="14.25" customHeight="1" x14ac:dyDescent="0.25">
      <c r="A14" s="189">
        <v>710000</v>
      </c>
      <c r="B14" s="192" t="s">
        <v>182</v>
      </c>
      <c r="C14" s="380">
        <f t="shared" ref="C14" si="3">C16+C23+C27+C36+C44+C46+C50</f>
        <v>7601067</v>
      </c>
      <c r="D14" s="193">
        <f>D16+D23+D27+D36+D44+D46+D50</f>
        <v>7622548</v>
      </c>
      <c r="E14" s="400">
        <f t="shared" ref="E14:K14" si="4">E16+E23+E27+E36+E44+E46+E50</f>
        <v>8441308</v>
      </c>
      <c r="F14" s="193">
        <f t="shared" si="4"/>
        <v>0</v>
      </c>
      <c r="G14" s="193">
        <f t="shared" si="4"/>
        <v>680718</v>
      </c>
      <c r="H14" s="193">
        <f t="shared" si="4"/>
        <v>0</v>
      </c>
      <c r="I14" s="401">
        <f t="shared" si="4"/>
        <v>9122026</v>
      </c>
      <c r="J14" s="380">
        <f t="shared" si="4"/>
        <v>9433334</v>
      </c>
      <c r="K14" s="193">
        <f t="shared" si="4"/>
        <v>9887000</v>
      </c>
    </row>
    <row r="15" spans="1:14" ht="10.5" customHeight="1" x14ac:dyDescent="0.25">
      <c r="A15" s="197"/>
      <c r="B15" s="198"/>
      <c r="C15" s="381"/>
      <c r="D15" s="195"/>
      <c r="E15" s="402"/>
      <c r="F15" s="195"/>
      <c r="G15" s="195"/>
      <c r="H15" s="195"/>
      <c r="I15" s="403"/>
      <c r="J15" s="381"/>
      <c r="K15" s="195"/>
    </row>
    <row r="16" spans="1:14" ht="13.5" customHeight="1" x14ac:dyDescent="0.25">
      <c r="A16" s="189">
        <v>711000</v>
      </c>
      <c r="B16" s="192" t="s">
        <v>51</v>
      </c>
      <c r="C16" s="380">
        <f t="shared" ref="C16:H16" si="5">C17+C18+C19+C20+C21</f>
        <v>78199</v>
      </c>
      <c r="D16" s="193">
        <f t="shared" si="5"/>
        <v>76000</v>
      </c>
      <c r="E16" s="400">
        <f t="shared" si="5"/>
        <v>66000</v>
      </c>
      <c r="F16" s="193">
        <f t="shared" si="5"/>
        <v>0</v>
      </c>
      <c r="G16" s="193">
        <f t="shared" si="5"/>
        <v>0</v>
      </c>
      <c r="H16" s="193">
        <f t="shared" si="5"/>
        <v>0</v>
      </c>
      <c r="I16" s="401">
        <f t="shared" ref="I16:I21" si="6">E16+F16+G16+H16</f>
        <v>66000</v>
      </c>
      <c r="J16" s="380">
        <f>J17+J18+J19+J20+J21</f>
        <v>66000</v>
      </c>
      <c r="K16" s="193">
        <f>K17+K18+K19+K20+K21</f>
        <v>66000</v>
      </c>
    </row>
    <row r="17" spans="1:14" ht="13.5" customHeight="1" x14ac:dyDescent="0.2">
      <c r="A17" s="191">
        <v>711111</v>
      </c>
      <c r="B17" s="194" t="s">
        <v>52</v>
      </c>
      <c r="C17" s="382">
        <v>3615</v>
      </c>
      <c r="D17" s="199">
        <v>5000</v>
      </c>
      <c r="E17" s="404">
        <f>10000-5000</f>
        <v>5000</v>
      </c>
      <c r="F17" s="199"/>
      <c r="G17" s="199"/>
      <c r="H17" s="199"/>
      <c r="I17" s="405">
        <f t="shared" si="6"/>
        <v>5000</v>
      </c>
      <c r="J17" s="382">
        <v>5000</v>
      </c>
      <c r="K17" s="199">
        <f>5000+3000</f>
        <v>8000</v>
      </c>
    </row>
    <row r="18" spans="1:14" ht="13.5" customHeight="1" x14ac:dyDescent="0.2">
      <c r="A18" s="191">
        <v>711112</v>
      </c>
      <c r="B18" s="194" t="s">
        <v>53</v>
      </c>
      <c r="C18" s="382">
        <v>72714</v>
      </c>
      <c r="D18" s="199">
        <v>68000</v>
      </c>
      <c r="E18" s="666">
        <v>55000</v>
      </c>
      <c r="F18" s="199"/>
      <c r="G18" s="199"/>
      <c r="H18" s="199"/>
      <c r="I18" s="405">
        <f t="shared" si="6"/>
        <v>55000</v>
      </c>
      <c r="J18" s="382">
        <v>55000</v>
      </c>
      <c r="K18" s="199">
        <v>50000</v>
      </c>
    </row>
    <row r="19" spans="1:14" ht="13.5" customHeight="1" x14ac:dyDescent="0.2">
      <c r="A19" s="191">
        <v>711113</v>
      </c>
      <c r="B19" s="194" t="s">
        <v>54</v>
      </c>
      <c r="C19" s="382"/>
      <c r="D19" s="199"/>
      <c r="E19" s="404"/>
      <c r="F19" s="199"/>
      <c r="G19" s="199"/>
      <c r="H19" s="199"/>
      <c r="I19" s="405">
        <f t="shared" si="6"/>
        <v>0</v>
      </c>
      <c r="J19" s="382"/>
      <c r="K19" s="199"/>
    </row>
    <row r="20" spans="1:14" ht="13.5" customHeight="1" x14ac:dyDescent="0.2">
      <c r="A20" s="191">
        <v>711114</v>
      </c>
      <c r="B20" s="194" t="s">
        <v>55</v>
      </c>
      <c r="C20" s="382"/>
      <c r="D20" s="199"/>
      <c r="E20" s="404">
        <f>1000-1000</f>
        <v>0</v>
      </c>
      <c r="F20" s="199"/>
      <c r="G20" s="199"/>
      <c r="H20" s="199"/>
      <c r="I20" s="405">
        <f t="shared" si="6"/>
        <v>0</v>
      </c>
      <c r="J20" s="382"/>
      <c r="K20" s="199"/>
    </row>
    <row r="21" spans="1:14" ht="13.5" customHeight="1" x14ac:dyDescent="0.2">
      <c r="A21" s="191">
        <v>711115</v>
      </c>
      <c r="B21" s="194" t="s">
        <v>56</v>
      </c>
      <c r="C21" s="382">
        <v>1870</v>
      </c>
      <c r="D21" s="199">
        <v>3000</v>
      </c>
      <c r="E21" s="666">
        <v>6000</v>
      </c>
      <c r="F21" s="199"/>
      <c r="G21" s="199"/>
      <c r="H21" s="199"/>
      <c r="I21" s="405">
        <f t="shared" si="6"/>
        <v>6000</v>
      </c>
      <c r="J21" s="382">
        <v>6000</v>
      </c>
      <c r="K21" s="199">
        <v>8000</v>
      </c>
    </row>
    <row r="22" spans="1:14" ht="11.25" customHeight="1" x14ac:dyDescent="0.2">
      <c r="A22" s="191"/>
      <c r="B22" s="194"/>
      <c r="C22" s="382"/>
      <c r="D22" s="199"/>
      <c r="E22" s="404"/>
      <c r="F22" s="199"/>
      <c r="G22" s="199"/>
      <c r="H22" s="199"/>
      <c r="I22" s="405"/>
      <c r="J22" s="382"/>
      <c r="K22" s="199"/>
    </row>
    <row r="23" spans="1:14" ht="14.25" customHeight="1" x14ac:dyDescent="0.25">
      <c r="A23" s="189">
        <v>713000</v>
      </c>
      <c r="B23" s="192" t="s">
        <v>58</v>
      </c>
      <c r="C23" s="380">
        <f t="shared" ref="C23:H23" si="7">C24+C25</f>
        <v>4756</v>
      </c>
      <c r="D23" s="193">
        <f t="shared" si="7"/>
        <v>0</v>
      </c>
      <c r="E23" s="400">
        <f t="shared" si="7"/>
        <v>0</v>
      </c>
      <c r="F23" s="193">
        <f t="shared" si="7"/>
        <v>0</v>
      </c>
      <c r="G23" s="193">
        <f t="shared" si="7"/>
        <v>0</v>
      </c>
      <c r="H23" s="193">
        <f t="shared" si="7"/>
        <v>0</v>
      </c>
      <c r="I23" s="401">
        <f>E23+F23+G23+H23</f>
        <v>0</v>
      </c>
      <c r="J23" s="380">
        <f>J24+J25</f>
        <v>0</v>
      </c>
      <c r="K23" s="193">
        <f>K24+K25</f>
        <v>0</v>
      </c>
    </row>
    <row r="24" spans="1:14" ht="13.5" customHeight="1" x14ac:dyDescent="0.2">
      <c r="A24" s="191">
        <v>713111</v>
      </c>
      <c r="B24" s="194" t="s">
        <v>59</v>
      </c>
      <c r="C24" s="528">
        <v>368</v>
      </c>
      <c r="D24" s="199"/>
      <c r="E24" s="404">
        <f>73760-73760</f>
        <v>0</v>
      </c>
      <c r="F24" s="199"/>
      <c r="G24" s="199"/>
      <c r="H24" s="199"/>
      <c r="I24" s="527">
        <f>E24+F24+G24+H24</f>
        <v>0</v>
      </c>
      <c r="J24" s="528"/>
      <c r="K24" s="529"/>
    </row>
    <row r="25" spans="1:14" ht="15" customHeight="1" x14ac:dyDescent="0.2">
      <c r="A25" s="191">
        <v>713113</v>
      </c>
      <c r="B25" s="194" t="s">
        <v>60</v>
      </c>
      <c r="C25" s="528">
        <v>4388</v>
      </c>
      <c r="D25" s="199"/>
      <c r="E25" s="404">
        <f>5000-5000</f>
        <v>0</v>
      </c>
      <c r="F25" s="199"/>
      <c r="G25" s="199"/>
      <c r="H25" s="199"/>
      <c r="I25" s="527">
        <f>E25+F25+G25+H25</f>
        <v>0</v>
      </c>
      <c r="J25" s="528"/>
      <c r="K25" s="529"/>
    </row>
    <row r="26" spans="1:14" ht="12.75" customHeight="1" x14ac:dyDescent="0.2">
      <c r="A26" s="191"/>
      <c r="B26" s="194"/>
      <c r="C26" s="382"/>
      <c r="D26" s="199"/>
      <c r="E26" s="404"/>
      <c r="F26" s="199"/>
      <c r="G26" s="199"/>
      <c r="H26" s="199"/>
      <c r="I26" s="405"/>
      <c r="J26" s="382"/>
      <c r="K26" s="199"/>
      <c r="L26" s="563"/>
    </row>
    <row r="27" spans="1:14" ht="14.25" customHeight="1" x14ac:dyDescent="0.25">
      <c r="A27" s="200"/>
      <c r="B27" s="192" t="s">
        <v>96</v>
      </c>
      <c r="C27" s="380">
        <f t="shared" ref="C27:H27" si="8">C28+C29+C30+C31+C32+C33+C34</f>
        <v>2353726</v>
      </c>
      <c r="D27" s="193">
        <f t="shared" si="8"/>
        <v>2348747</v>
      </c>
      <c r="E27" s="400">
        <f t="shared" si="8"/>
        <v>2732000</v>
      </c>
      <c r="F27" s="193">
        <f t="shared" si="8"/>
        <v>0</v>
      </c>
      <c r="G27" s="193">
        <f t="shared" si="8"/>
        <v>0</v>
      </c>
      <c r="H27" s="193">
        <f t="shared" si="8"/>
        <v>0</v>
      </c>
      <c r="I27" s="401">
        <f>E27+F27+G27+H27</f>
        <v>2732000</v>
      </c>
      <c r="J27" s="380">
        <f>J28+J29+J30+J31+J32+J33+J34</f>
        <v>2853000</v>
      </c>
      <c r="K27" s="193">
        <f>K28+K29+K30+K31+K32+K33+K34</f>
        <v>2991000</v>
      </c>
      <c r="L27" s="195">
        <f>2732458-2627998</f>
        <v>104460</v>
      </c>
      <c r="M27" s="2">
        <f>2853233-2744000</f>
        <v>109233</v>
      </c>
      <c r="N27" s="2">
        <f>2991330-2873000</f>
        <v>118330</v>
      </c>
    </row>
    <row r="28" spans="1:14" ht="14.25" customHeight="1" x14ac:dyDescent="0.25">
      <c r="A28" s="191">
        <v>716111</v>
      </c>
      <c r="B28" s="194" t="s">
        <v>665</v>
      </c>
      <c r="C28" s="367">
        <v>2001104</v>
      </c>
      <c r="D28" s="199">
        <v>1989747</v>
      </c>
      <c r="E28" s="410">
        <f>2160000+81000</f>
        <v>2241000</v>
      </c>
      <c r="F28" s="199"/>
      <c r="G28" s="199"/>
      <c r="H28" s="199"/>
      <c r="I28" s="405">
        <f>E28+F28+G28+H28</f>
        <v>2241000</v>
      </c>
      <c r="J28" s="367">
        <f>2210000+100000</f>
        <v>2310000</v>
      </c>
      <c r="K28" s="203">
        <f>2332000+100000</f>
        <v>2432000</v>
      </c>
      <c r="L28" s="979">
        <v>1904391.7</v>
      </c>
      <c r="M28" s="979">
        <v>188980.99</v>
      </c>
    </row>
    <row r="29" spans="1:14" ht="15" customHeight="1" x14ac:dyDescent="0.25">
      <c r="A29" s="191">
        <v>716112</v>
      </c>
      <c r="B29" s="194" t="s">
        <v>666</v>
      </c>
      <c r="C29" s="367">
        <v>64372</v>
      </c>
      <c r="D29" s="199">
        <v>70000</v>
      </c>
      <c r="E29" s="410">
        <f>107000+1000</f>
        <v>108000</v>
      </c>
      <c r="F29" s="199"/>
      <c r="G29" s="199"/>
      <c r="H29" s="199"/>
      <c r="I29" s="405">
        <f t="shared" ref="I29:I34" si="9">E29+F29+G29+H29</f>
        <v>108000</v>
      </c>
      <c r="J29" s="367">
        <v>107000</v>
      </c>
      <c r="K29" s="199">
        <v>110000</v>
      </c>
      <c r="L29" s="979">
        <v>77501.600000000006</v>
      </c>
      <c r="M29" s="979">
        <v>10458.459999999999</v>
      </c>
    </row>
    <row r="30" spans="1:14" ht="15.75" customHeight="1" x14ac:dyDescent="0.25">
      <c r="A30" s="191">
        <v>716113</v>
      </c>
      <c r="B30" s="194" t="s">
        <v>667</v>
      </c>
      <c r="C30" s="382">
        <v>7956</v>
      </c>
      <c r="D30" s="199">
        <v>10000</v>
      </c>
      <c r="E30" s="404">
        <f>25000+1000</f>
        <v>26000</v>
      </c>
      <c r="F30" s="199"/>
      <c r="G30" s="199"/>
      <c r="H30" s="199"/>
      <c r="I30" s="405">
        <f t="shared" si="9"/>
        <v>26000</v>
      </c>
      <c r="J30" s="382">
        <v>25000</v>
      </c>
      <c r="K30" s="199">
        <v>25000</v>
      </c>
      <c r="L30" s="979">
        <v>7857.05</v>
      </c>
      <c r="M30" s="979">
        <v>465.54</v>
      </c>
    </row>
    <row r="31" spans="1:14" ht="14.25" customHeight="1" x14ac:dyDescent="0.2">
      <c r="A31" s="191">
        <v>716114</v>
      </c>
      <c r="B31" s="194" t="s">
        <v>668</v>
      </c>
      <c r="C31" s="382">
        <v>1110</v>
      </c>
      <c r="D31" s="199"/>
      <c r="E31" s="404">
        <f>10000-8000-2000</f>
        <v>0</v>
      </c>
      <c r="F31" s="199"/>
      <c r="G31" s="199"/>
      <c r="H31" s="199"/>
      <c r="I31" s="405">
        <f t="shared" si="9"/>
        <v>0</v>
      </c>
      <c r="J31" s="382">
        <f>3000-3000</f>
        <v>0</v>
      </c>
      <c r="K31" s="199">
        <f>4000-4000</f>
        <v>0</v>
      </c>
    </row>
    <row r="32" spans="1:14" ht="14.25" customHeight="1" x14ac:dyDescent="0.25">
      <c r="A32" s="191">
        <v>716115</v>
      </c>
      <c r="B32" s="194" t="s">
        <v>669</v>
      </c>
      <c r="C32" s="367">
        <v>113879</v>
      </c>
      <c r="D32" s="199">
        <v>112000</v>
      </c>
      <c r="E32" s="404">
        <f>120000+15000</f>
        <v>135000</v>
      </c>
      <c r="F32" s="199"/>
      <c r="G32" s="199"/>
      <c r="H32" s="199"/>
      <c r="I32" s="405">
        <f t="shared" si="9"/>
        <v>135000</v>
      </c>
      <c r="J32" s="367">
        <f>136000+9000</f>
        <v>145000</v>
      </c>
      <c r="K32" s="203">
        <f>140000+17000</f>
        <v>157000</v>
      </c>
      <c r="L32" s="979">
        <v>120220.42</v>
      </c>
      <c r="M32" s="979">
        <v>21592.37</v>
      </c>
    </row>
    <row r="33" spans="1:14" ht="14.25" customHeight="1" x14ac:dyDescent="0.25">
      <c r="A33" s="191">
        <v>716116</v>
      </c>
      <c r="B33" s="194" t="s">
        <v>670</v>
      </c>
      <c r="C33" s="382">
        <v>113307</v>
      </c>
      <c r="D33" s="199">
        <v>107000</v>
      </c>
      <c r="E33" s="404">
        <f>115000+5000</f>
        <v>120000</v>
      </c>
      <c r="F33" s="199"/>
      <c r="G33" s="199"/>
      <c r="H33" s="199"/>
      <c r="I33" s="405">
        <f t="shared" si="9"/>
        <v>120000</v>
      </c>
      <c r="J33" s="382">
        <v>135000</v>
      </c>
      <c r="K33" s="199">
        <v>135000</v>
      </c>
      <c r="L33" s="979">
        <v>104111.75</v>
      </c>
      <c r="M33" s="979">
        <v>8363.61</v>
      </c>
    </row>
    <row r="34" spans="1:14" ht="15" customHeight="1" x14ac:dyDescent="0.25">
      <c r="A34" s="191">
        <v>716117</v>
      </c>
      <c r="B34" s="194" t="s">
        <v>671</v>
      </c>
      <c r="C34" s="382">
        <v>51998</v>
      </c>
      <c r="D34" s="199">
        <v>60000</v>
      </c>
      <c r="E34" s="404">
        <f>100998+1002</f>
        <v>102000</v>
      </c>
      <c r="F34" s="199"/>
      <c r="G34" s="199"/>
      <c r="H34" s="199"/>
      <c r="I34" s="405">
        <f t="shared" si="9"/>
        <v>102000</v>
      </c>
      <c r="J34" s="382">
        <v>131000</v>
      </c>
      <c r="K34" s="199">
        <f>131000+1000</f>
        <v>132000</v>
      </c>
      <c r="L34" s="979">
        <v>75535.98</v>
      </c>
      <c r="M34" s="979">
        <v>2265.62</v>
      </c>
    </row>
    <row r="35" spans="1:14" ht="11.25" customHeight="1" x14ac:dyDescent="0.25">
      <c r="A35" s="191"/>
      <c r="B35" s="194"/>
      <c r="C35" s="382"/>
      <c r="D35" s="199"/>
      <c r="E35" s="404"/>
      <c r="F35" s="199"/>
      <c r="G35" s="199"/>
      <c r="H35" s="199"/>
      <c r="I35" s="405"/>
      <c r="J35" s="382"/>
      <c r="K35" s="199"/>
      <c r="L35" s="562" t="s">
        <v>1132</v>
      </c>
      <c r="M35" s="980" t="s">
        <v>1131</v>
      </c>
    </row>
    <row r="36" spans="1:14" ht="15.75" customHeight="1" x14ac:dyDescent="0.25">
      <c r="A36" s="189">
        <v>714000</v>
      </c>
      <c r="B36" s="192" t="s">
        <v>97</v>
      </c>
      <c r="C36" s="380">
        <f t="shared" ref="C36:H36" si="10">C37+C38+C39+C40+C41+C42</f>
        <v>844691</v>
      </c>
      <c r="D36" s="193">
        <f t="shared" si="10"/>
        <v>795000</v>
      </c>
      <c r="E36" s="400">
        <f t="shared" si="10"/>
        <v>975813</v>
      </c>
      <c r="F36" s="193">
        <f t="shared" si="10"/>
        <v>0</v>
      </c>
      <c r="G36" s="193">
        <f t="shared" si="10"/>
        <v>0</v>
      </c>
      <c r="H36" s="193">
        <f t="shared" si="10"/>
        <v>0</v>
      </c>
      <c r="I36" s="401">
        <f t="shared" ref="I36:I42" si="11">E36+F36+G36+H36</f>
        <v>975813</v>
      </c>
      <c r="J36" s="380">
        <f>J37+J38+J39+J40+J41+J42</f>
        <v>978256</v>
      </c>
      <c r="K36" s="193">
        <f>K37+K38+K39+K40+K41+K42</f>
        <v>978256</v>
      </c>
    </row>
    <row r="37" spans="1:14" ht="15.75" customHeight="1" x14ac:dyDescent="0.2">
      <c r="A37" s="191">
        <v>714111</v>
      </c>
      <c r="B37" s="194" t="s">
        <v>277</v>
      </c>
      <c r="C37" s="382">
        <v>49988</v>
      </c>
      <c r="D37" s="199">
        <v>45000</v>
      </c>
      <c r="E37" s="404">
        <v>50000</v>
      </c>
      <c r="F37" s="199"/>
      <c r="G37" s="199"/>
      <c r="H37" s="199"/>
      <c r="I37" s="405">
        <f t="shared" si="11"/>
        <v>50000</v>
      </c>
      <c r="J37" s="382">
        <v>50000</v>
      </c>
      <c r="K37" s="199">
        <f>50000</f>
        <v>50000</v>
      </c>
    </row>
    <row r="38" spans="1:14" ht="14.25" customHeight="1" x14ac:dyDescent="0.2">
      <c r="A38" s="191">
        <v>714112</v>
      </c>
      <c r="B38" s="194" t="s">
        <v>156</v>
      </c>
      <c r="C38" s="382">
        <v>53006</v>
      </c>
      <c r="D38" s="199">
        <v>40000</v>
      </c>
      <c r="E38" s="404">
        <v>50000</v>
      </c>
      <c r="F38" s="199"/>
      <c r="G38" s="199"/>
      <c r="H38" s="199"/>
      <c r="I38" s="405">
        <f t="shared" si="11"/>
        <v>50000</v>
      </c>
      <c r="J38" s="382">
        <v>50000</v>
      </c>
      <c r="K38" s="199">
        <f>50000</f>
        <v>50000</v>
      </c>
    </row>
    <row r="39" spans="1:14" ht="15" customHeight="1" x14ac:dyDescent="0.2">
      <c r="A39" s="191">
        <v>714113</v>
      </c>
      <c r="B39" s="194" t="s">
        <v>78</v>
      </c>
      <c r="C39" s="382">
        <v>293330</v>
      </c>
      <c r="D39" s="199">
        <v>290000</v>
      </c>
      <c r="E39" s="404">
        <v>325813</v>
      </c>
      <c r="F39" s="199"/>
      <c r="G39" s="199"/>
      <c r="H39" s="199"/>
      <c r="I39" s="405">
        <f t="shared" si="11"/>
        <v>325813</v>
      </c>
      <c r="J39" s="382">
        <v>340000</v>
      </c>
      <c r="K39" s="199">
        <f>275000+30000-10000+45000</f>
        <v>340000</v>
      </c>
    </row>
    <row r="40" spans="1:14" ht="13.5" customHeight="1" x14ac:dyDescent="0.2">
      <c r="A40" s="191">
        <v>714121</v>
      </c>
      <c r="B40" s="194" t="s">
        <v>157</v>
      </c>
      <c r="C40" s="382">
        <v>14857</v>
      </c>
      <c r="D40" s="199">
        <v>10000</v>
      </c>
      <c r="E40" s="404">
        <v>10000</v>
      </c>
      <c r="F40" s="199"/>
      <c r="G40" s="199"/>
      <c r="H40" s="199"/>
      <c r="I40" s="405">
        <f t="shared" si="11"/>
        <v>10000</v>
      </c>
      <c r="J40" s="382">
        <v>10000</v>
      </c>
      <c r="K40" s="199">
        <v>10000</v>
      </c>
    </row>
    <row r="41" spans="1:14" ht="15" customHeight="1" x14ac:dyDescent="0.2">
      <c r="A41" s="191">
        <v>714131</v>
      </c>
      <c r="B41" s="194" t="s">
        <v>158</v>
      </c>
      <c r="C41" s="382">
        <v>324753</v>
      </c>
      <c r="D41" s="199">
        <v>260000</v>
      </c>
      <c r="E41" s="410">
        <v>290000</v>
      </c>
      <c r="F41" s="199"/>
      <c r="G41" s="199"/>
      <c r="H41" s="199"/>
      <c r="I41" s="405">
        <f t="shared" si="11"/>
        <v>290000</v>
      </c>
      <c r="J41" s="382">
        <v>278256</v>
      </c>
      <c r="K41" s="199">
        <f>278256</f>
        <v>278256</v>
      </c>
    </row>
    <row r="42" spans="1:14" ht="15.75" customHeight="1" x14ac:dyDescent="0.2">
      <c r="A42" s="191">
        <v>714132</v>
      </c>
      <c r="B42" s="194" t="s">
        <v>159</v>
      </c>
      <c r="C42" s="382">
        <v>108757</v>
      </c>
      <c r="D42" s="199">
        <v>150000</v>
      </c>
      <c r="E42" s="410">
        <v>250000</v>
      </c>
      <c r="F42" s="199"/>
      <c r="G42" s="199"/>
      <c r="H42" s="199"/>
      <c r="I42" s="405">
        <f t="shared" si="11"/>
        <v>250000</v>
      </c>
      <c r="J42" s="382">
        <f>318777-68777</f>
        <v>250000</v>
      </c>
      <c r="K42" s="199">
        <f>330000-80000</f>
        <v>250000</v>
      </c>
    </row>
    <row r="43" spans="1:14" ht="12" customHeight="1" x14ac:dyDescent="0.2">
      <c r="A43" s="191"/>
      <c r="B43" s="194"/>
      <c r="C43" s="382"/>
      <c r="D43" s="199"/>
      <c r="E43" s="404"/>
      <c r="F43" s="199"/>
      <c r="G43" s="199"/>
      <c r="H43" s="199"/>
      <c r="I43" s="405"/>
      <c r="J43" s="382"/>
      <c r="K43" s="199"/>
    </row>
    <row r="44" spans="1:14" ht="14.25" customHeight="1" x14ac:dyDescent="0.25">
      <c r="A44" s="189">
        <v>715000</v>
      </c>
      <c r="B44" s="192" t="s">
        <v>98</v>
      </c>
      <c r="C44" s="380">
        <v>6491</v>
      </c>
      <c r="D44" s="193">
        <v>10000</v>
      </c>
      <c r="E44" s="400">
        <v>10000</v>
      </c>
      <c r="F44" s="193"/>
      <c r="G44" s="193"/>
      <c r="H44" s="193"/>
      <c r="I44" s="401">
        <f>E44+F44+G44+H44</f>
        <v>10000</v>
      </c>
      <c r="J44" s="380">
        <v>10000</v>
      </c>
      <c r="K44" s="193">
        <v>10000</v>
      </c>
    </row>
    <row r="45" spans="1:14" ht="12" customHeight="1" x14ac:dyDescent="0.2">
      <c r="A45" s="191"/>
      <c r="B45" s="194"/>
      <c r="C45" s="382"/>
      <c r="D45" s="199"/>
      <c r="E45" s="404"/>
      <c r="F45" s="199"/>
      <c r="G45" s="199"/>
      <c r="H45" s="199"/>
      <c r="I45" s="405"/>
      <c r="J45" s="382"/>
      <c r="K45" s="199"/>
    </row>
    <row r="46" spans="1:14" ht="15.75" x14ac:dyDescent="0.25">
      <c r="A46" s="200">
        <v>717000</v>
      </c>
      <c r="B46" s="192" t="s">
        <v>99</v>
      </c>
      <c r="C46" s="380">
        <f t="shared" ref="C46:D46" si="12">C47</f>
        <v>4313014</v>
      </c>
      <c r="D46" s="193">
        <f t="shared" si="12"/>
        <v>4392801</v>
      </c>
      <c r="E46" s="400">
        <f>E47+E48</f>
        <v>4657495</v>
      </c>
      <c r="F46" s="400">
        <f t="shared" ref="F46:H46" si="13">F47+F48</f>
        <v>0</v>
      </c>
      <c r="G46" s="400">
        <f t="shared" si="13"/>
        <v>680718</v>
      </c>
      <c r="H46" s="400">
        <f t="shared" si="13"/>
        <v>0</v>
      </c>
      <c r="I46" s="401">
        <f>E46+F46+G46+H46</f>
        <v>5338213</v>
      </c>
      <c r="J46" s="380">
        <f>J47+J48</f>
        <v>5526078</v>
      </c>
      <c r="K46" s="380">
        <f>K47+K48</f>
        <v>5841744</v>
      </c>
    </row>
    <row r="47" spans="1:14" ht="14.25" customHeight="1" x14ac:dyDescent="0.25">
      <c r="A47" s="191">
        <v>717141</v>
      </c>
      <c r="B47" s="194" t="s">
        <v>100</v>
      </c>
      <c r="C47" s="683">
        <v>4313014</v>
      </c>
      <c r="D47" s="199">
        <v>4392801</v>
      </c>
      <c r="E47" s="666">
        <f>4710832-53337</f>
        <v>4657495</v>
      </c>
      <c r="F47" s="199"/>
      <c r="G47" s="199"/>
      <c r="H47" s="199"/>
      <c r="I47" s="405">
        <f>E47+F47+G47+H47</f>
        <v>4657495</v>
      </c>
      <c r="J47" s="683">
        <f>4875389-49311</f>
        <v>4826078</v>
      </c>
      <c r="K47" s="667">
        <f>5146112-37368</f>
        <v>5108744</v>
      </c>
      <c r="L47" s="195">
        <f>4710832-4657495</f>
        <v>53337</v>
      </c>
      <c r="M47" s="2">
        <f>4875389-4826078</f>
        <v>49311</v>
      </c>
      <c r="N47" s="2">
        <f>5146112-5108744</f>
        <v>37368</v>
      </c>
    </row>
    <row r="48" spans="1:14" ht="45" customHeight="1" x14ac:dyDescent="0.25">
      <c r="A48" s="191">
        <v>717131</v>
      </c>
      <c r="B48" s="620" t="s">
        <v>1102</v>
      </c>
      <c r="C48" s="367"/>
      <c r="D48" s="199"/>
      <c r="E48" s="410"/>
      <c r="F48" s="199"/>
      <c r="G48" s="667">
        <v>680718</v>
      </c>
      <c r="H48" s="199"/>
      <c r="I48" s="405">
        <f>E48+F48+G48+H48</f>
        <v>680718</v>
      </c>
      <c r="J48" s="683">
        <f>701625-1625</f>
        <v>700000</v>
      </c>
      <c r="K48" s="667">
        <f>733895-895</f>
        <v>733000</v>
      </c>
      <c r="L48" s="977"/>
    </row>
    <row r="49" spans="1:14" ht="9.75" customHeight="1" x14ac:dyDescent="0.2">
      <c r="A49" s="191"/>
      <c r="B49" s="194"/>
      <c r="C49" s="382"/>
      <c r="D49" s="199"/>
      <c r="E49" s="404"/>
      <c r="F49" s="199"/>
      <c r="G49" s="199"/>
      <c r="H49" s="199"/>
      <c r="I49" s="405"/>
      <c r="J49" s="382"/>
      <c r="K49" s="199"/>
    </row>
    <row r="50" spans="1:14" ht="12.75" customHeight="1" x14ac:dyDescent="0.25">
      <c r="A50" s="189">
        <v>719100</v>
      </c>
      <c r="B50" s="192" t="s">
        <v>101</v>
      </c>
      <c r="C50" s="380">
        <f t="shared" ref="C50:H50" si="14">C51+C52</f>
        <v>190</v>
      </c>
      <c r="D50" s="193">
        <f t="shared" si="14"/>
        <v>0</v>
      </c>
      <c r="E50" s="400">
        <f t="shared" si="14"/>
        <v>0</v>
      </c>
      <c r="F50" s="193">
        <f t="shared" si="14"/>
        <v>0</v>
      </c>
      <c r="G50" s="193">
        <f t="shared" si="14"/>
        <v>0</v>
      </c>
      <c r="H50" s="193">
        <f t="shared" si="14"/>
        <v>0</v>
      </c>
      <c r="I50" s="401">
        <f>E50+F50+G50+H50</f>
        <v>0</v>
      </c>
      <c r="J50" s="380">
        <f>J51+J52</f>
        <v>0</v>
      </c>
      <c r="K50" s="193">
        <f>K51+K52</f>
        <v>0</v>
      </c>
    </row>
    <row r="51" spans="1:14" ht="13.5" customHeight="1" x14ac:dyDescent="0.2">
      <c r="A51" s="324">
        <v>719114</v>
      </c>
      <c r="B51" s="325" t="s">
        <v>102</v>
      </c>
      <c r="C51" s="285">
        <v>187</v>
      </c>
      <c r="D51" s="844"/>
      <c r="E51" s="406"/>
      <c r="F51" s="285"/>
      <c r="G51" s="285"/>
      <c r="H51" s="285"/>
      <c r="I51" s="407">
        <f>E51+F51+G51+H51</f>
        <v>0</v>
      </c>
      <c r="J51" s="285"/>
      <c r="K51" s="285"/>
    </row>
    <row r="52" spans="1:14" ht="13.5" customHeight="1" x14ac:dyDescent="0.2">
      <c r="A52" s="324">
        <v>719115</v>
      </c>
      <c r="B52" s="325" t="s">
        <v>103</v>
      </c>
      <c r="C52" s="285">
        <v>3</v>
      </c>
      <c r="D52" s="845"/>
      <c r="E52" s="406"/>
      <c r="F52" s="285"/>
      <c r="G52" s="285"/>
      <c r="H52" s="285"/>
      <c r="I52" s="407">
        <f>E52+F52+G52+H52</f>
        <v>0</v>
      </c>
      <c r="J52" s="285"/>
      <c r="K52" s="285"/>
    </row>
    <row r="53" spans="1:14" ht="9.75" customHeight="1" x14ac:dyDescent="0.2">
      <c r="A53" s="191"/>
      <c r="B53" s="194"/>
      <c r="C53" s="382"/>
      <c r="D53" s="199"/>
      <c r="E53" s="404"/>
      <c r="F53" s="199"/>
      <c r="G53" s="199"/>
      <c r="H53" s="199"/>
      <c r="I53" s="405"/>
      <c r="J53" s="382"/>
      <c r="K53" s="199"/>
    </row>
    <row r="54" spans="1:14" ht="15" customHeight="1" x14ac:dyDescent="0.25">
      <c r="A54" s="189">
        <v>720000</v>
      </c>
      <c r="B54" s="192" t="s">
        <v>124</v>
      </c>
      <c r="C54" s="380">
        <f t="shared" ref="C54:K54" si="15">C56+C64+C102</f>
        <v>5506898</v>
      </c>
      <c r="D54" s="193">
        <f t="shared" si="15"/>
        <v>7651348</v>
      </c>
      <c r="E54" s="400">
        <f t="shared" si="15"/>
        <v>1671208</v>
      </c>
      <c r="F54" s="193">
        <f t="shared" si="15"/>
        <v>0</v>
      </c>
      <c r="G54" s="193">
        <f t="shared" si="15"/>
        <v>5979251</v>
      </c>
      <c r="H54" s="193">
        <f t="shared" si="15"/>
        <v>0</v>
      </c>
      <c r="I54" s="401">
        <f t="shared" si="15"/>
        <v>7650459</v>
      </c>
      <c r="J54" s="380">
        <f t="shared" si="15"/>
        <v>6590451</v>
      </c>
      <c r="K54" s="193">
        <f t="shared" si="15"/>
        <v>5622421</v>
      </c>
    </row>
    <row r="55" spans="1:14" ht="9.75" customHeight="1" x14ac:dyDescent="0.25">
      <c r="A55" s="197"/>
      <c r="B55" s="198"/>
      <c r="C55" s="381"/>
      <c r="D55" s="195"/>
      <c r="E55" s="404"/>
      <c r="F55" s="199"/>
      <c r="G55" s="199"/>
      <c r="H55" s="199"/>
      <c r="I55" s="403"/>
      <c r="J55" s="381"/>
      <c r="K55" s="195"/>
    </row>
    <row r="56" spans="1:14" ht="14.25" customHeight="1" x14ac:dyDescent="0.25">
      <c r="A56" s="189">
        <v>721200</v>
      </c>
      <c r="B56" s="192" t="s">
        <v>137</v>
      </c>
      <c r="C56" s="380">
        <f>C57+C59+C60+C58+C61+C62</f>
        <v>392474</v>
      </c>
      <c r="D56" s="193">
        <f>D57+D58+D59+D60+D61+D62</f>
        <v>1678957</v>
      </c>
      <c r="E56" s="400">
        <f>E57+E59+E60+E58+E61+E62</f>
        <v>12000</v>
      </c>
      <c r="F56" s="193">
        <f>F57+F59+F60+F58+F61+F62</f>
        <v>0</v>
      </c>
      <c r="G56" s="193">
        <f>G57+G59+G60+G58+G61+G62</f>
        <v>2418433</v>
      </c>
      <c r="H56" s="193">
        <f>H57+H59+H60+H58+H61+H62</f>
        <v>0</v>
      </c>
      <c r="I56" s="401">
        <f t="shared" ref="I56:I62" si="16">E56+F56+G56+H56</f>
        <v>2430433</v>
      </c>
      <c r="J56" s="380">
        <f>J57+J59+J60+J58+J61+J62</f>
        <v>1408836</v>
      </c>
      <c r="K56" s="193">
        <f>K57+K59+K60+K58+K61+K62</f>
        <v>436806</v>
      </c>
      <c r="L56" s="9"/>
    </row>
    <row r="57" spans="1:14" ht="30" customHeight="1" x14ac:dyDescent="0.25">
      <c r="A57" s="191">
        <v>721112</v>
      </c>
      <c r="B57" s="202" t="s">
        <v>66</v>
      </c>
      <c r="C57" s="367">
        <v>359581</v>
      </c>
      <c r="D57" s="199">
        <v>1446727</v>
      </c>
      <c r="E57" s="408"/>
      <c r="F57" s="195"/>
      <c r="G57" s="553">
        <f>1111822+284661+459560+20000+1034907-514617</f>
        <v>2396333</v>
      </c>
      <c r="H57" s="195"/>
      <c r="I57" s="409">
        <f t="shared" si="16"/>
        <v>2396333</v>
      </c>
      <c r="J57" s="367">
        <f>795393+778075-130000-118732+50000</f>
        <v>1374736</v>
      </c>
      <c r="K57" s="203">
        <f>795393-274302-200000+31615+50000</f>
        <v>402706</v>
      </c>
      <c r="L57" s="2" t="s">
        <v>965</v>
      </c>
    </row>
    <row r="58" spans="1:14" ht="30" x14ac:dyDescent="0.2">
      <c r="A58" s="580">
        <v>721121</v>
      </c>
      <c r="B58" s="581" t="s">
        <v>302</v>
      </c>
      <c r="C58" s="519">
        <v>21094</v>
      </c>
      <c r="D58" s="519">
        <v>22100</v>
      </c>
      <c r="E58" s="520"/>
      <c r="F58" s="515"/>
      <c r="G58" s="515">
        <f>50000-27900</f>
        <v>22100</v>
      </c>
      <c r="H58" s="515"/>
      <c r="I58" s="560">
        <f t="shared" si="16"/>
        <v>22100</v>
      </c>
      <c r="J58" s="519">
        <f>50000-27900</f>
        <v>22100</v>
      </c>
      <c r="K58" s="515">
        <f>50000-27900</f>
        <v>22100</v>
      </c>
      <c r="L58" s="2" t="s">
        <v>1173</v>
      </c>
    </row>
    <row r="59" spans="1:14" ht="28.5" customHeight="1" x14ac:dyDescent="0.2">
      <c r="A59" s="191">
        <v>721122</v>
      </c>
      <c r="B59" s="202" t="s">
        <v>303</v>
      </c>
      <c r="C59" s="367">
        <v>10903</v>
      </c>
      <c r="D59" s="199">
        <v>7500</v>
      </c>
      <c r="E59" s="410">
        <v>10000</v>
      </c>
      <c r="F59" s="199"/>
      <c r="G59" s="199"/>
      <c r="H59" s="199"/>
      <c r="I59" s="409">
        <f t="shared" si="16"/>
        <v>10000</v>
      </c>
      <c r="J59" s="367">
        <f>24000-14000</f>
        <v>10000</v>
      </c>
      <c r="K59" s="203">
        <f>24000-14000</f>
        <v>10000</v>
      </c>
    </row>
    <row r="60" spans="1:14" ht="13.5" customHeight="1" x14ac:dyDescent="0.2">
      <c r="A60" s="191">
        <v>721211</v>
      </c>
      <c r="B60" s="194" t="s">
        <v>304</v>
      </c>
      <c r="C60" s="382">
        <v>224</v>
      </c>
      <c r="D60" s="199">
        <v>2000</v>
      </c>
      <c r="E60" s="404">
        <v>2000</v>
      </c>
      <c r="F60" s="199"/>
      <c r="G60" s="199"/>
      <c r="H60" s="199"/>
      <c r="I60" s="409">
        <f t="shared" si="16"/>
        <v>2000</v>
      </c>
      <c r="J60" s="382">
        <v>2000</v>
      </c>
      <c r="K60" s="199">
        <v>2000</v>
      </c>
    </row>
    <row r="61" spans="1:14" ht="29.25" customHeight="1" x14ac:dyDescent="0.2">
      <c r="A61" s="191">
        <v>721227</v>
      </c>
      <c r="B61" s="202" t="s">
        <v>305</v>
      </c>
      <c r="C61" s="382">
        <v>672</v>
      </c>
      <c r="D61" s="199">
        <v>630</v>
      </c>
      <c r="E61" s="404"/>
      <c r="F61" s="199"/>
      <c r="G61" s="199"/>
      <c r="H61" s="199"/>
      <c r="I61" s="409">
        <f t="shared" si="16"/>
        <v>0</v>
      </c>
      <c r="J61" s="382"/>
      <c r="K61" s="199"/>
    </row>
    <row r="62" spans="1:14" ht="27.75" customHeight="1" x14ac:dyDescent="0.2">
      <c r="A62" s="191">
        <v>721239</v>
      </c>
      <c r="B62" s="202" t="s">
        <v>463</v>
      </c>
      <c r="C62" s="382"/>
      <c r="D62" s="199">
        <v>200000</v>
      </c>
      <c r="E62" s="666"/>
      <c r="F62" s="199"/>
      <c r="G62" s="199"/>
      <c r="H62" s="199"/>
      <c r="I62" s="409">
        <f t="shared" si="16"/>
        <v>0</v>
      </c>
      <c r="J62" s="382"/>
      <c r="K62" s="199"/>
    </row>
    <row r="63" spans="1:14" ht="9.75" customHeight="1" x14ac:dyDescent="0.2">
      <c r="A63" s="191"/>
      <c r="B63" s="194"/>
      <c r="C63" s="382"/>
      <c r="D63" s="199"/>
      <c r="E63" s="404"/>
      <c r="F63" s="199"/>
      <c r="G63" s="199"/>
      <c r="H63" s="199"/>
      <c r="I63" s="405"/>
      <c r="J63" s="382"/>
      <c r="K63" s="199"/>
    </row>
    <row r="64" spans="1:14" ht="16.5" customHeight="1" x14ac:dyDescent="0.25">
      <c r="A64" s="189">
        <v>722000</v>
      </c>
      <c r="B64" s="204" t="s">
        <v>154</v>
      </c>
      <c r="C64" s="401">
        <f>C65+C66+C76+C69+C79+C78+C71+C72+C73+C74+C75+C82+C86+C77+C83+C84+C85+C88+C89+C90+C91+C92+C97+C98+C99+C95+C100</f>
        <v>5111649</v>
      </c>
      <c r="D64" s="193">
        <f>D65+D66+D76+D69+D79+D78+D71+D72+D73+D74+D75+D82+D86+D77+D83+D84+D85+D88+D89+D90+D91+D92+D97+D98+D99+D95+D100</f>
        <v>5959391</v>
      </c>
      <c r="E64" s="400">
        <f>E65+E66+E76+E69+E79+E78+E71+E72+E73+E74+E75+E82+E86+E77+E83+E84+E85+E88+E89+E90+E91+E92+E97+E98+E99+E95+E100</f>
        <v>1646208</v>
      </c>
      <c r="F64" s="193">
        <f>F65+F66+F76+F69+F79+F71+F72+F73+F74+F75+F82+F86+F77+F83+F84+F85+F88+F89+F90+F91+F92+F97+F98+F99+F95</f>
        <v>0</v>
      </c>
      <c r="G64" s="193">
        <f>G65+G66+G76+G69+G79+G71+G72+G73+G74+G75+G82+G78+G77+G83+G84+G85+G86+G87+G88+G89+G90+G91+G92+G97+G98+G99+G95</f>
        <v>3560818</v>
      </c>
      <c r="H64" s="193">
        <f>H65+H66+H76+H69+H79+H71+H72+H73+H74+H75+H82+H86+H78+H77+H83+H84+H85+H88+H89+H90+H91+H92+H97+H98+H99+H95</f>
        <v>0</v>
      </c>
      <c r="I64" s="193">
        <f>I65+I66+I76+I69+I79+I78+I71+I72+I73+I74+I75+I82+I77+I83+I84+I85+I86+I87+I88+I89+I90+I91+I92+I97+I98+I99+I95+I100</f>
        <v>5207026</v>
      </c>
      <c r="J64" s="401">
        <f>J65+J66+J76+J69+J79+J78+J71+J72+J73+J74+J75+J82+J77+J83+J84+J85+J86+J87+J88+J89+J90+J91+J92+J97+J98+J99+J95+J100</f>
        <v>5168615</v>
      </c>
      <c r="K64" s="401">
        <f>K65+K66+K76+K69+K79+K78+K71+K72+K73+K74+K75+K82+K77+K83+K84+K85+K86+K87+K88+K89+K90+K91+K92+K97+K98+K99+K95+K100</f>
        <v>5172615</v>
      </c>
      <c r="N64" s="9" t="e">
        <f>#REF!-I64</f>
        <v>#REF!</v>
      </c>
    </row>
    <row r="65" spans="1:12" ht="15" customHeight="1" x14ac:dyDescent="0.2">
      <c r="A65" s="191">
        <v>722131</v>
      </c>
      <c r="B65" s="194" t="s">
        <v>138</v>
      </c>
      <c r="C65" s="382">
        <v>305898</v>
      </c>
      <c r="D65" s="199">
        <v>266287</v>
      </c>
      <c r="E65" s="404">
        <v>250208</v>
      </c>
      <c r="F65" s="199"/>
      <c r="G65" s="199"/>
      <c r="H65" s="199"/>
      <c r="I65" s="405">
        <f>E65+F65+G65+H65</f>
        <v>250208</v>
      </c>
      <c r="J65" s="382">
        <v>250000</v>
      </c>
      <c r="K65" s="199">
        <f>260000-19684-32100-24500+66284</f>
        <v>250000</v>
      </c>
    </row>
    <row r="66" spans="1:12" ht="12.75" customHeight="1" x14ac:dyDescent="0.2">
      <c r="A66" s="191">
        <v>722321</v>
      </c>
      <c r="B66" s="194" t="s">
        <v>139</v>
      </c>
      <c r="C66" s="382">
        <v>598818</v>
      </c>
      <c r="D66" s="199">
        <v>720000</v>
      </c>
      <c r="E66" s="410">
        <v>727500</v>
      </c>
      <c r="F66" s="199"/>
      <c r="G66" s="203">
        <f>75000+500-53000</f>
        <v>22500</v>
      </c>
      <c r="H66" s="199"/>
      <c r="I66" s="409">
        <f t="shared" ref="I66:I100" si="17">E66+F66+G66+H66</f>
        <v>750000</v>
      </c>
      <c r="J66" s="382">
        <v>740028</v>
      </c>
      <c r="K66" s="203">
        <f>750000-7972-2000</f>
        <v>740028</v>
      </c>
    </row>
    <row r="67" spans="1:12" ht="12.75" customHeight="1" x14ac:dyDescent="0.2">
      <c r="A67" s="191"/>
      <c r="B67" s="194" t="s">
        <v>170</v>
      </c>
      <c r="C67" s="382"/>
      <c r="D67" s="199"/>
      <c r="E67" s="404"/>
      <c r="F67" s="199"/>
      <c r="G67" s="199"/>
      <c r="H67" s="199"/>
      <c r="I67" s="405">
        <f t="shared" si="17"/>
        <v>0</v>
      </c>
      <c r="J67" s="382"/>
      <c r="K67" s="199"/>
    </row>
    <row r="68" spans="1:12" ht="12.75" customHeight="1" x14ac:dyDescent="0.2">
      <c r="A68" s="191"/>
      <c r="B68" s="194" t="s">
        <v>169</v>
      </c>
      <c r="C68" s="382"/>
      <c r="D68" s="199"/>
      <c r="E68" s="404"/>
      <c r="F68" s="199"/>
      <c r="G68" s="199"/>
      <c r="H68" s="199"/>
      <c r="I68" s="405">
        <f t="shared" si="17"/>
        <v>0</v>
      </c>
      <c r="J68" s="382"/>
      <c r="K68" s="199"/>
    </row>
    <row r="69" spans="1:12" x14ac:dyDescent="0.2">
      <c r="A69" s="205">
        <v>722432</v>
      </c>
      <c r="B69" s="206" t="s">
        <v>1103</v>
      </c>
      <c r="C69" s="384"/>
      <c r="D69" s="207">
        <v>100</v>
      </c>
      <c r="E69" s="412"/>
      <c r="F69" s="209"/>
      <c r="G69" s="209">
        <v>100</v>
      </c>
      <c r="H69" s="209"/>
      <c r="I69" s="411">
        <f t="shared" si="17"/>
        <v>100</v>
      </c>
      <c r="J69" s="384">
        <v>100</v>
      </c>
      <c r="K69" s="207">
        <v>100</v>
      </c>
    </row>
    <row r="70" spans="1:12" x14ac:dyDescent="0.2">
      <c r="A70" s="191"/>
      <c r="B70" s="208" t="s">
        <v>1104</v>
      </c>
      <c r="C70" s="382"/>
      <c r="D70" s="199"/>
      <c r="E70" s="404"/>
      <c r="F70" s="199"/>
      <c r="G70" s="199"/>
      <c r="H70" s="199"/>
      <c r="I70" s="405">
        <f t="shared" ref="I70:I78" si="18">E70+F70+G70+H70</f>
        <v>0</v>
      </c>
      <c r="J70" s="382"/>
      <c r="K70" s="199"/>
    </row>
    <row r="71" spans="1:12" ht="30" x14ac:dyDescent="0.2">
      <c r="A71" s="191">
        <v>722433</v>
      </c>
      <c r="B71" s="682" t="s">
        <v>1105</v>
      </c>
      <c r="C71" s="382">
        <v>114699</v>
      </c>
      <c r="D71" s="199">
        <v>220000</v>
      </c>
      <c r="E71" s="404"/>
      <c r="F71" s="199"/>
      <c r="G71" s="199">
        <f>170000-20000</f>
        <v>150000</v>
      </c>
      <c r="H71" s="199"/>
      <c r="I71" s="405">
        <f t="shared" si="18"/>
        <v>150000</v>
      </c>
      <c r="J71" s="382">
        <f>170000-20000</f>
        <v>150000</v>
      </c>
      <c r="K71" s="382">
        <f>170000-20000</f>
        <v>150000</v>
      </c>
    </row>
    <row r="72" spans="1:12" ht="30" x14ac:dyDescent="0.2">
      <c r="A72" s="687">
        <v>722434</v>
      </c>
      <c r="B72" s="978" t="s">
        <v>1106</v>
      </c>
      <c r="C72" s="382">
        <v>1218388</v>
      </c>
      <c r="D72" s="667"/>
      <c r="E72" s="666"/>
      <c r="F72" s="667"/>
      <c r="G72" s="667">
        <f>2300000-2300000</f>
        <v>0</v>
      </c>
      <c r="H72" s="667"/>
      <c r="I72" s="689">
        <f t="shared" si="18"/>
        <v>0</v>
      </c>
      <c r="J72" s="382">
        <f>2200000-2200000</f>
        <v>0</v>
      </c>
      <c r="K72" s="203">
        <f>1902995-1902995</f>
        <v>0</v>
      </c>
    </row>
    <row r="73" spans="1:12" x14ac:dyDescent="0.2">
      <c r="A73" s="191">
        <v>722435</v>
      </c>
      <c r="B73" s="194" t="s">
        <v>1107</v>
      </c>
      <c r="C73" s="382">
        <v>891808</v>
      </c>
      <c r="D73" s="199">
        <v>515800</v>
      </c>
      <c r="E73" s="404"/>
      <c r="F73" s="199"/>
      <c r="G73" s="203">
        <f>572634-172634</f>
        <v>400000</v>
      </c>
      <c r="H73" s="199"/>
      <c r="I73" s="405">
        <f t="shared" si="18"/>
        <v>400000</v>
      </c>
      <c r="J73" s="382">
        <f>255587+144413</f>
        <v>400000</v>
      </c>
      <c r="K73" s="199">
        <f>155587+244413</f>
        <v>400000</v>
      </c>
    </row>
    <row r="74" spans="1:12" ht="30" x14ac:dyDescent="0.2">
      <c r="A74" s="191">
        <v>722436</v>
      </c>
      <c r="B74" s="202" t="s">
        <v>1108</v>
      </c>
      <c r="C74" s="382">
        <v>38605</v>
      </c>
      <c r="D74" s="199">
        <v>50000</v>
      </c>
      <c r="E74" s="404">
        <v>50000</v>
      </c>
      <c r="F74" s="199"/>
      <c r="G74" s="199"/>
      <c r="H74" s="199"/>
      <c r="I74" s="405">
        <f t="shared" si="18"/>
        <v>50000</v>
      </c>
      <c r="J74" s="382">
        <v>50000</v>
      </c>
      <c r="K74" s="199">
        <v>50000</v>
      </c>
    </row>
    <row r="75" spans="1:12" ht="30" x14ac:dyDescent="0.2">
      <c r="A75" s="191">
        <v>722437</v>
      </c>
      <c r="B75" s="202" t="s">
        <v>1109</v>
      </c>
      <c r="C75" s="382"/>
      <c r="D75" s="199"/>
      <c r="E75" s="404">
        <v>40000</v>
      </c>
      <c r="F75" s="199"/>
      <c r="G75" s="199"/>
      <c r="H75" s="199"/>
      <c r="I75" s="405">
        <f t="shared" si="18"/>
        <v>40000</v>
      </c>
      <c r="J75" s="382">
        <f>40000-30000+30000</f>
        <v>40000</v>
      </c>
      <c r="K75" s="199">
        <f>40000-30000+30000</f>
        <v>40000</v>
      </c>
    </row>
    <row r="76" spans="1:12" ht="30" x14ac:dyDescent="0.2">
      <c r="A76" s="324">
        <v>722442</v>
      </c>
      <c r="B76" s="361" t="s">
        <v>1110</v>
      </c>
      <c r="C76" s="383">
        <v>176388</v>
      </c>
      <c r="D76" s="362">
        <v>50000</v>
      </c>
      <c r="E76" s="406"/>
      <c r="F76" s="285"/>
      <c r="G76" s="285">
        <f>50000+50000</f>
        <v>100000</v>
      </c>
      <c r="H76" s="285"/>
      <c r="I76" s="411">
        <f t="shared" si="18"/>
        <v>100000</v>
      </c>
      <c r="J76" s="383">
        <f>50000+50000</f>
        <v>100000</v>
      </c>
      <c r="K76" s="362">
        <f>50000+50000</f>
        <v>100000</v>
      </c>
    </row>
    <row r="77" spans="1:12" ht="30" x14ac:dyDescent="0.2">
      <c r="A77" s="191">
        <v>722443</v>
      </c>
      <c r="B77" s="202" t="s">
        <v>1111</v>
      </c>
      <c r="C77" s="382">
        <v>246950</v>
      </c>
      <c r="D77" s="199">
        <v>245000</v>
      </c>
      <c r="E77" s="404">
        <v>248000</v>
      </c>
      <c r="F77" s="199"/>
      <c r="G77" s="199"/>
      <c r="H77" s="199"/>
      <c r="I77" s="405">
        <f t="shared" si="18"/>
        <v>248000</v>
      </c>
      <c r="J77" s="382">
        <v>240000</v>
      </c>
      <c r="K77" s="199">
        <f>400000-200000+40000</f>
        <v>240000</v>
      </c>
    </row>
    <row r="78" spans="1:12" x14ac:dyDescent="0.2">
      <c r="A78" s="687">
        <v>722441</v>
      </c>
      <c r="B78" s="688" t="s">
        <v>1112</v>
      </c>
      <c r="C78" s="683"/>
      <c r="D78" s="667">
        <v>2000000</v>
      </c>
      <c r="E78" s="666"/>
      <c r="F78" s="667"/>
      <c r="G78" s="667">
        <f>2200000-200000</f>
        <v>2000000</v>
      </c>
      <c r="H78" s="667"/>
      <c r="I78" s="689">
        <f t="shared" si="18"/>
        <v>2000000</v>
      </c>
      <c r="J78" s="683">
        <f>2150000-150000</f>
        <v>2000000</v>
      </c>
      <c r="K78" s="683">
        <f>2100000-100000</f>
        <v>2000000</v>
      </c>
      <c r="L78" s="2" t="s">
        <v>969</v>
      </c>
    </row>
    <row r="79" spans="1:12" ht="13.5" customHeight="1" x14ac:dyDescent="0.2">
      <c r="A79" s="191">
        <v>722449</v>
      </c>
      <c r="B79" s="194" t="s">
        <v>1113</v>
      </c>
      <c r="C79" s="382">
        <v>48574</v>
      </c>
      <c r="D79" s="199">
        <v>136700</v>
      </c>
      <c r="E79" s="404">
        <f>50000</f>
        <v>50000</v>
      </c>
      <c r="F79" s="199"/>
      <c r="G79" s="199">
        <f>G80</f>
        <v>0</v>
      </c>
      <c r="H79" s="199"/>
      <c r="I79" s="405">
        <f t="shared" si="17"/>
        <v>50000</v>
      </c>
      <c r="J79" s="382">
        <v>50000</v>
      </c>
      <c r="K79" s="199">
        <v>50000</v>
      </c>
    </row>
    <row r="80" spans="1:12" ht="45" x14ac:dyDescent="0.2">
      <c r="A80" s="210">
        <v>722449</v>
      </c>
      <c r="B80" s="326" t="s">
        <v>315</v>
      </c>
      <c r="C80" s="367"/>
      <c r="D80" s="203">
        <v>1000</v>
      </c>
      <c r="E80" s="410"/>
      <c r="F80" s="203"/>
      <c r="G80" s="203"/>
      <c r="H80" s="203"/>
      <c r="I80" s="409">
        <f>SUM(E80:H80)</f>
        <v>0</v>
      </c>
      <c r="J80" s="367"/>
      <c r="K80" s="203"/>
      <c r="L80" s="2" t="s">
        <v>1114</v>
      </c>
    </row>
    <row r="81" spans="1:13" ht="30" customHeight="1" x14ac:dyDescent="0.2">
      <c r="A81" s="210"/>
      <c r="B81" s="514" t="s">
        <v>554</v>
      </c>
      <c r="C81" s="519"/>
      <c r="D81" s="515">
        <v>100000</v>
      </c>
      <c r="E81" s="520"/>
      <c r="F81" s="515"/>
      <c r="G81" s="515"/>
      <c r="H81" s="515"/>
      <c r="I81" s="560">
        <f>SUM(E81:H81)</f>
        <v>0</v>
      </c>
      <c r="J81" s="519"/>
      <c r="K81" s="515"/>
    </row>
    <row r="82" spans="1:13" ht="13.5" customHeight="1" x14ac:dyDescent="0.2">
      <c r="A82" s="191">
        <v>722461</v>
      </c>
      <c r="B82" s="194" t="s">
        <v>1115</v>
      </c>
      <c r="C82" s="367"/>
      <c r="D82" s="199">
        <v>50000</v>
      </c>
      <c r="E82" s="410">
        <f>11500+38500</f>
        <v>50000</v>
      </c>
      <c r="F82" s="203"/>
      <c r="G82" s="203"/>
      <c r="H82" s="203"/>
      <c r="I82" s="409">
        <f t="shared" si="17"/>
        <v>50000</v>
      </c>
      <c r="J82" s="367">
        <v>5000</v>
      </c>
      <c r="K82" s="203">
        <v>5000</v>
      </c>
    </row>
    <row r="83" spans="1:13" ht="13.5" customHeight="1" x14ac:dyDescent="0.2">
      <c r="A83" s="513">
        <v>722474</v>
      </c>
      <c r="B83" s="559" t="s">
        <v>1116</v>
      </c>
      <c r="C83" s="519">
        <v>47395</v>
      </c>
      <c r="D83" s="515">
        <v>30000</v>
      </c>
      <c r="E83" s="520"/>
      <c r="F83" s="515"/>
      <c r="G83" s="515">
        <v>20000</v>
      </c>
      <c r="H83" s="515"/>
      <c r="I83" s="560">
        <f>E83+F83+G83+H83</f>
        <v>20000</v>
      </c>
      <c r="J83" s="519">
        <f>10000+10000</f>
        <v>20000</v>
      </c>
      <c r="K83" s="515">
        <f>10000+10000</f>
        <v>20000</v>
      </c>
    </row>
    <row r="84" spans="1:13" ht="27" customHeight="1" x14ac:dyDescent="0.2">
      <c r="A84" s="191">
        <v>722515</v>
      </c>
      <c r="B84" s="202" t="s">
        <v>1117</v>
      </c>
      <c r="C84" s="382">
        <v>14902</v>
      </c>
      <c r="D84" s="199">
        <v>24000</v>
      </c>
      <c r="E84" s="404">
        <v>24000</v>
      </c>
      <c r="F84" s="199"/>
      <c r="G84" s="199"/>
      <c r="H84" s="199"/>
      <c r="I84" s="405">
        <f t="shared" si="17"/>
        <v>24000</v>
      </c>
      <c r="J84" s="382">
        <v>24000</v>
      </c>
      <c r="K84" s="199">
        <v>24000</v>
      </c>
    </row>
    <row r="85" spans="1:13" ht="28.5" customHeight="1" x14ac:dyDescent="0.2">
      <c r="A85" s="191">
        <v>722516</v>
      </c>
      <c r="B85" s="202" t="s">
        <v>1118</v>
      </c>
      <c r="C85" s="382">
        <v>156191</v>
      </c>
      <c r="D85" s="199">
        <v>150000</v>
      </c>
      <c r="E85" s="404">
        <v>150000</v>
      </c>
      <c r="F85" s="199"/>
      <c r="G85" s="199"/>
      <c r="H85" s="199"/>
      <c r="I85" s="405">
        <f>E85+F85+G85+H85</f>
        <v>150000</v>
      </c>
      <c r="J85" s="382">
        <f>89000-13000+74000</f>
        <v>150000</v>
      </c>
      <c r="K85" s="199">
        <v>150000</v>
      </c>
    </row>
    <row r="86" spans="1:13" ht="43.5" customHeight="1" x14ac:dyDescent="0.2">
      <c r="A86" s="687">
        <v>722531</v>
      </c>
      <c r="B86" s="202" t="s">
        <v>1119</v>
      </c>
      <c r="C86" s="382">
        <v>1018996</v>
      </c>
      <c r="D86" s="199">
        <v>990000</v>
      </c>
      <c r="E86" s="404"/>
      <c r="F86" s="199"/>
      <c r="G86" s="667">
        <v>190682</v>
      </c>
      <c r="H86" s="199"/>
      <c r="I86" s="689">
        <f>E86+F86+G86+H86</f>
        <v>190682</v>
      </c>
      <c r="J86" s="683">
        <f>194471-471</f>
        <v>194000</v>
      </c>
      <c r="K86" s="683">
        <f>198579-579</f>
        <v>198000</v>
      </c>
      <c r="L86" s="563" t="s">
        <v>937</v>
      </c>
    </row>
    <row r="87" spans="1:13" ht="42.75" customHeight="1" x14ac:dyDescent="0.2">
      <c r="A87" s="687">
        <v>722532</v>
      </c>
      <c r="B87" s="202" t="s">
        <v>1120</v>
      </c>
      <c r="C87" s="382"/>
      <c r="D87" s="199"/>
      <c r="E87" s="404"/>
      <c r="F87" s="199"/>
      <c r="G87" s="667">
        <v>490036</v>
      </c>
      <c r="H87" s="199"/>
      <c r="I87" s="689">
        <f>E87+F87+G87+H87</f>
        <v>490036</v>
      </c>
      <c r="J87" s="683">
        <f>507154-7154</f>
        <v>500000</v>
      </c>
      <c r="K87" s="683">
        <f>535316-35316</f>
        <v>500000</v>
      </c>
      <c r="L87" s="563"/>
    </row>
    <row r="88" spans="1:13" s="10" customFormat="1" ht="30.75" customHeight="1" x14ac:dyDescent="0.2">
      <c r="A88" s="205">
        <v>722581</v>
      </c>
      <c r="B88" s="251" t="s">
        <v>1121</v>
      </c>
      <c r="C88" s="385">
        <v>199364</v>
      </c>
      <c r="D88" s="209">
        <v>175000</v>
      </c>
      <c r="E88" s="412"/>
      <c r="F88" s="209"/>
      <c r="G88" s="209">
        <f>170000+5000</f>
        <v>175000</v>
      </c>
      <c r="H88" s="209"/>
      <c r="I88" s="411">
        <f t="shared" si="17"/>
        <v>175000</v>
      </c>
      <c r="J88" s="385">
        <v>175000</v>
      </c>
      <c r="K88" s="209">
        <v>175000</v>
      </c>
    </row>
    <row r="89" spans="1:13" s="10" customFormat="1" ht="29.25" customHeight="1" x14ac:dyDescent="0.2">
      <c r="A89" s="205">
        <v>722582</v>
      </c>
      <c r="B89" s="251" t="s">
        <v>1122</v>
      </c>
      <c r="C89" s="385">
        <v>6752</v>
      </c>
      <c r="D89" s="209">
        <v>5000</v>
      </c>
      <c r="E89" s="412"/>
      <c r="F89" s="209"/>
      <c r="G89" s="209">
        <v>11500</v>
      </c>
      <c r="H89" s="209"/>
      <c r="I89" s="411">
        <f t="shared" si="17"/>
        <v>11500</v>
      </c>
      <c r="J89" s="385">
        <v>11500</v>
      </c>
      <c r="K89" s="209">
        <v>11500</v>
      </c>
    </row>
    <row r="90" spans="1:13" s="10" customFormat="1" x14ac:dyDescent="0.2">
      <c r="A90" s="324">
        <v>722583</v>
      </c>
      <c r="B90" s="325" t="s">
        <v>1123</v>
      </c>
      <c r="C90" s="386">
        <v>99</v>
      </c>
      <c r="D90" s="285">
        <v>100</v>
      </c>
      <c r="E90" s="406"/>
      <c r="F90" s="285"/>
      <c r="G90" s="285">
        <v>500</v>
      </c>
      <c r="H90" s="285"/>
      <c r="I90" s="411">
        <f t="shared" si="17"/>
        <v>500</v>
      </c>
      <c r="J90" s="386">
        <v>500</v>
      </c>
      <c r="K90" s="285">
        <v>500</v>
      </c>
    </row>
    <row r="91" spans="1:13" s="10" customFormat="1" ht="33" customHeight="1" x14ac:dyDescent="0.2">
      <c r="A91" s="324">
        <v>722584</v>
      </c>
      <c r="B91" s="330" t="s">
        <v>1124</v>
      </c>
      <c r="C91" s="386">
        <v>374</v>
      </c>
      <c r="D91" s="285">
        <v>500</v>
      </c>
      <c r="E91" s="406"/>
      <c r="F91" s="285"/>
      <c r="G91" s="285">
        <v>500</v>
      </c>
      <c r="H91" s="285"/>
      <c r="I91" s="411">
        <f t="shared" si="17"/>
        <v>500</v>
      </c>
      <c r="J91" s="386">
        <v>500</v>
      </c>
      <c r="K91" s="285">
        <v>500</v>
      </c>
    </row>
    <row r="92" spans="1:13" ht="28.5" customHeight="1" x14ac:dyDescent="0.2">
      <c r="A92" s="191">
        <v>722732</v>
      </c>
      <c r="B92" s="202" t="s">
        <v>1125</v>
      </c>
      <c r="C92" s="367">
        <v>576</v>
      </c>
      <c r="D92" s="199">
        <v>273000</v>
      </c>
      <c r="E92" s="404">
        <f>3000+E93+E94</f>
        <v>3000</v>
      </c>
      <c r="F92" s="199"/>
      <c r="G92" s="199"/>
      <c r="H92" s="199"/>
      <c r="I92" s="405">
        <f t="shared" si="17"/>
        <v>3000</v>
      </c>
      <c r="J92" s="367">
        <v>14487</v>
      </c>
      <c r="K92" s="203">
        <f>2946+11541</f>
        <v>14487</v>
      </c>
      <c r="M92" s="2">
        <f>10000000</f>
        <v>10000000</v>
      </c>
    </row>
    <row r="93" spans="1:13" ht="46.5" customHeight="1" x14ac:dyDescent="0.25">
      <c r="A93" s="466"/>
      <c r="B93" s="467" t="s">
        <v>391</v>
      </c>
      <c r="C93" s="525">
        <f>1200000-200000-1000000</f>
        <v>0</v>
      </c>
      <c r="D93" s="468">
        <v>270000</v>
      </c>
      <c r="E93" s="470"/>
      <c r="F93" s="469"/>
      <c r="G93" s="308"/>
      <c r="H93" s="469"/>
      <c r="I93" s="472">
        <f t="shared" si="17"/>
        <v>0</v>
      </c>
      <c r="J93" s="525">
        <f>1200000-200000-1000000</f>
        <v>0</v>
      </c>
      <c r="K93" s="471"/>
      <c r="L93" s="2" t="s">
        <v>970</v>
      </c>
    </row>
    <row r="94" spans="1:13" ht="33" customHeight="1" x14ac:dyDescent="0.2">
      <c r="A94" s="466"/>
      <c r="B94" s="665" t="s">
        <v>392</v>
      </c>
      <c r="C94" s="474"/>
      <c r="D94" s="468"/>
      <c r="E94" s="473">
        <f>108406-108406</f>
        <v>0</v>
      </c>
      <c r="F94" s="468"/>
      <c r="G94" s="474"/>
      <c r="H94" s="468"/>
      <c r="I94" s="472">
        <f>E94+F94+G94+H94</f>
        <v>0</v>
      </c>
      <c r="J94" s="474"/>
      <c r="K94" s="468"/>
    </row>
    <row r="95" spans="1:13" ht="12.75" customHeight="1" x14ac:dyDescent="0.2">
      <c r="A95" s="191">
        <v>722719</v>
      </c>
      <c r="B95" s="202" t="s">
        <v>1126</v>
      </c>
      <c r="C95" s="382">
        <v>7363</v>
      </c>
      <c r="D95" s="199">
        <v>9404</v>
      </c>
      <c r="E95" s="404">
        <v>5000</v>
      </c>
      <c r="F95" s="199"/>
      <c r="G95" s="199"/>
      <c r="H95" s="199"/>
      <c r="I95" s="405">
        <f>E95+F95+G95+H95</f>
        <v>5000</v>
      </c>
      <c r="J95" s="382">
        <v>5000</v>
      </c>
      <c r="K95" s="199">
        <v>5000</v>
      </c>
    </row>
    <row r="96" spans="1:13" ht="41.25" customHeight="1" x14ac:dyDescent="0.2">
      <c r="A96" s="191"/>
      <c r="B96" s="202" t="s">
        <v>484</v>
      </c>
      <c r="C96" s="382"/>
      <c r="D96" s="199">
        <v>4404</v>
      </c>
      <c r="E96" s="404"/>
      <c r="F96" s="199"/>
      <c r="G96" s="199"/>
      <c r="H96" s="199"/>
      <c r="I96" s="405">
        <f>E96+F96+G96+H96</f>
        <v>0</v>
      </c>
      <c r="J96" s="382"/>
      <c r="K96" s="199"/>
    </row>
    <row r="97" spans="1:11" ht="18" customHeight="1" x14ac:dyDescent="0.2">
      <c r="A97" s="191">
        <v>722741</v>
      </c>
      <c r="B97" s="326" t="s">
        <v>1127</v>
      </c>
      <c r="C97" s="367">
        <v>440</v>
      </c>
      <c r="D97" s="203">
        <v>1000</v>
      </c>
      <c r="E97" s="410">
        <f>500+500</f>
        <v>1000</v>
      </c>
      <c r="F97" s="203"/>
      <c r="G97" s="203"/>
      <c r="H97" s="203"/>
      <c r="I97" s="409">
        <f t="shared" si="17"/>
        <v>1000</v>
      </c>
      <c r="J97" s="367">
        <f>500+500</f>
        <v>1000</v>
      </c>
      <c r="K97" s="203">
        <f>500+500</f>
        <v>1000</v>
      </c>
    </row>
    <row r="98" spans="1:11" ht="30" customHeight="1" x14ac:dyDescent="0.2">
      <c r="A98" s="210">
        <v>722761</v>
      </c>
      <c r="B98" s="252" t="s">
        <v>1128</v>
      </c>
      <c r="C98" s="382">
        <v>18195</v>
      </c>
      <c r="D98" s="199">
        <v>15000</v>
      </c>
      <c r="E98" s="404">
        <v>15000</v>
      </c>
      <c r="F98" s="199"/>
      <c r="G98" s="199"/>
      <c r="H98" s="199"/>
      <c r="I98" s="405">
        <f t="shared" si="17"/>
        <v>15000</v>
      </c>
      <c r="J98" s="382">
        <f>10000+5000</f>
        <v>15000</v>
      </c>
      <c r="K98" s="199">
        <f>10000+5000</f>
        <v>15000</v>
      </c>
    </row>
    <row r="99" spans="1:11" ht="12.75" customHeight="1" x14ac:dyDescent="0.2">
      <c r="A99" s="191">
        <v>722791</v>
      </c>
      <c r="B99" s="202" t="s">
        <v>1129</v>
      </c>
      <c r="C99" s="382">
        <v>874</v>
      </c>
      <c r="D99" s="199">
        <v>2500</v>
      </c>
      <c r="E99" s="404">
        <v>2500</v>
      </c>
      <c r="F99" s="199"/>
      <c r="G99" s="199"/>
      <c r="H99" s="199"/>
      <c r="I99" s="405">
        <f t="shared" si="17"/>
        <v>2500</v>
      </c>
      <c r="J99" s="382">
        <v>2500</v>
      </c>
      <c r="K99" s="199">
        <v>2500</v>
      </c>
    </row>
    <row r="100" spans="1:11" ht="29.25" customHeight="1" x14ac:dyDescent="0.2">
      <c r="A100" s="191">
        <v>722613</v>
      </c>
      <c r="B100" s="202" t="s">
        <v>1130</v>
      </c>
      <c r="C100" s="382"/>
      <c r="D100" s="199">
        <v>30000</v>
      </c>
      <c r="E100" s="666">
        <v>30000</v>
      </c>
      <c r="F100" s="199"/>
      <c r="G100" s="199"/>
      <c r="H100" s="199"/>
      <c r="I100" s="405">
        <f t="shared" si="17"/>
        <v>30000</v>
      </c>
      <c r="J100" s="382">
        <v>30000</v>
      </c>
      <c r="K100" s="199">
        <v>30000</v>
      </c>
    </row>
    <row r="101" spans="1:11" ht="10.5" customHeight="1" x14ac:dyDescent="0.2">
      <c r="A101" s="191"/>
      <c r="B101" s="194"/>
      <c r="C101" s="382"/>
      <c r="D101" s="199"/>
      <c r="E101" s="404"/>
      <c r="F101" s="199"/>
      <c r="G101" s="199"/>
      <c r="H101" s="199"/>
      <c r="I101" s="405"/>
      <c r="J101" s="382"/>
      <c r="K101" s="199"/>
    </row>
    <row r="102" spans="1:11" ht="14.25" customHeight="1" x14ac:dyDescent="0.25">
      <c r="A102" s="189">
        <v>723000</v>
      </c>
      <c r="B102" s="192" t="s">
        <v>140</v>
      </c>
      <c r="C102" s="380">
        <f t="shared" ref="C102" si="19">C103+C104</f>
        <v>2775</v>
      </c>
      <c r="D102" s="193">
        <f>D103+D104</f>
        <v>13000</v>
      </c>
      <c r="E102" s="400">
        <f t="shared" ref="E102:K102" si="20">E103+E104</f>
        <v>13000</v>
      </c>
      <c r="F102" s="193">
        <f t="shared" si="20"/>
        <v>0</v>
      </c>
      <c r="G102" s="193">
        <f t="shared" si="20"/>
        <v>0</v>
      </c>
      <c r="H102" s="193">
        <f t="shared" si="20"/>
        <v>0</v>
      </c>
      <c r="I102" s="401">
        <f t="shared" si="20"/>
        <v>13000</v>
      </c>
      <c r="J102" s="380">
        <f t="shared" si="20"/>
        <v>13000</v>
      </c>
      <c r="K102" s="193">
        <f t="shared" si="20"/>
        <v>13000</v>
      </c>
    </row>
    <row r="103" spans="1:11" ht="13.5" customHeight="1" x14ac:dyDescent="0.2">
      <c r="A103" s="210">
        <v>723131</v>
      </c>
      <c r="B103" s="246" t="s">
        <v>141</v>
      </c>
      <c r="C103" s="367">
        <v>795</v>
      </c>
      <c r="D103" s="203">
        <v>3000</v>
      </c>
      <c r="E103" s="410">
        <v>3000</v>
      </c>
      <c r="F103" s="203"/>
      <c r="G103" s="203"/>
      <c r="H103" s="203"/>
      <c r="I103" s="409">
        <f>E103+F103+G103+H103</f>
        <v>3000</v>
      </c>
      <c r="J103" s="367">
        <v>3000</v>
      </c>
      <c r="K103" s="203">
        <v>3000</v>
      </c>
    </row>
    <row r="104" spans="1:11" ht="27.75" customHeight="1" x14ac:dyDescent="0.2">
      <c r="A104" s="211">
        <v>723133</v>
      </c>
      <c r="B104" s="212" t="s">
        <v>194</v>
      </c>
      <c r="C104" s="387">
        <v>1980</v>
      </c>
      <c r="D104" s="213">
        <v>10000</v>
      </c>
      <c r="E104" s="413">
        <v>10000</v>
      </c>
      <c r="F104" s="213"/>
      <c r="G104" s="213"/>
      <c r="H104" s="213"/>
      <c r="I104" s="409">
        <f>E104+F104+G104+H104</f>
        <v>10000</v>
      </c>
      <c r="J104" s="387">
        <v>10000</v>
      </c>
      <c r="K104" s="213">
        <v>10000</v>
      </c>
    </row>
    <row r="105" spans="1:11" ht="10.5" customHeight="1" x14ac:dyDescent="0.2">
      <c r="A105" s="211"/>
      <c r="B105" s="212"/>
      <c r="C105" s="387"/>
      <c r="D105" s="213"/>
      <c r="E105" s="413"/>
      <c r="F105" s="213"/>
      <c r="G105" s="213"/>
      <c r="H105" s="213"/>
      <c r="I105" s="414"/>
      <c r="J105" s="387"/>
      <c r="K105" s="213"/>
    </row>
    <row r="106" spans="1:11" ht="15.75" customHeight="1" x14ac:dyDescent="0.25">
      <c r="A106" s="187">
        <v>730000</v>
      </c>
      <c r="B106" s="214" t="s">
        <v>146</v>
      </c>
      <c r="C106" s="388">
        <f t="shared" ref="C106" si="21">C107+C108+C109+C111+C119+C120</f>
        <v>268025</v>
      </c>
      <c r="D106" s="215">
        <f>D107+D108+D109+D110+D119+D120</f>
        <v>236880</v>
      </c>
      <c r="E106" s="415">
        <f>E108+E109+E111+E119+E120</f>
        <v>0</v>
      </c>
      <c r="F106" s="215">
        <f>F108+F109+F111+F119+F120</f>
        <v>0</v>
      </c>
      <c r="G106" s="215">
        <f>G108+G109+G111+G119+G120</f>
        <v>0</v>
      </c>
      <c r="H106" s="215">
        <f t="shared" ref="H106:K106" si="22">H107+H108+H109+H111+H119+H120</f>
        <v>386000</v>
      </c>
      <c r="I106" s="416">
        <f t="shared" si="22"/>
        <v>386000</v>
      </c>
      <c r="J106" s="388">
        <f t="shared" si="22"/>
        <v>158500</v>
      </c>
      <c r="K106" s="388">
        <f t="shared" si="22"/>
        <v>158500</v>
      </c>
    </row>
    <row r="107" spans="1:11" ht="45" customHeight="1" x14ac:dyDescent="0.25">
      <c r="A107" s="274">
        <v>731121</v>
      </c>
      <c r="B107" s="364" t="s">
        <v>460</v>
      </c>
      <c r="C107" s="389"/>
      <c r="D107" s="47"/>
      <c r="E107" s="417"/>
      <c r="F107" s="363"/>
      <c r="G107" s="363"/>
      <c r="H107" s="363"/>
      <c r="I107" s="421">
        <f>E107+F107+G107+H107</f>
        <v>0</v>
      </c>
      <c r="J107" s="389"/>
      <c r="K107" s="363"/>
    </row>
    <row r="108" spans="1:11" ht="15.75" customHeight="1" x14ac:dyDescent="0.25">
      <c r="A108" s="42">
        <v>732111</v>
      </c>
      <c r="B108" s="247" t="s">
        <v>953</v>
      </c>
      <c r="C108" s="300">
        <v>44446</v>
      </c>
      <c r="D108" s="217"/>
      <c r="E108" s="418"/>
      <c r="F108" s="47"/>
      <c r="G108" s="47"/>
      <c r="H108" s="47"/>
      <c r="I108" s="419">
        <f>E108+F108+G108+H108</f>
        <v>0</v>
      </c>
      <c r="J108" s="300"/>
      <c r="K108" s="47"/>
    </row>
    <row r="109" spans="1:11" ht="15.75" x14ac:dyDescent="0.25">
      <c r="A109" s="211">
        <v>732112</v>
      </c>
      <c r="B109" s="216" t="s">
        <v>195</v>
      </c>
      <c r="C109" s="390">
        <f>C110</f>
        <v>82642</v>
      </c>
      <c r="D109" s="213">
        <v>113000</v>
      </c>
      <c r="E109" s="420">
        <f>E110</f>
        <v>0</v>
      </c>
      <c r="F109" s="217">
        <f>F110</f>
        <v>0</v>
      </c>
      <c r="G109" s="217">
        <f>G110</f>
        <v>0</v>
      </c>
      <c r="H109" s="217">
        <v>113000</v>
      </c>
      <c r="I109" s="421">
        <f>E109+F109+G109+H109</f>
        <v>113000</v>
      </c>
      <c r="J109" s="390">
        <f>J110</f>
        <v>0</v>
      </c>
      <c r="K109" s="217">
        <f>K110</f>
        <v>0</v>
      </c>
    </row>
    <row r="110" spans="1:11" ht="60.75" customHeight="1" x14ac:dyDescent="0.2">
      <c r="A110" s="211"/>
      <c r="B110" s="212" t="s">
        <v>310</v>
      </c>
      <c r="C110" s="387">
        <v>82642</v>
      </c>
      <c r="D110" s="199">
        <f>D112+D113+D114+D115+D116+D117+D118</f>
        <v>118000</v>
      </c>
      <c r="E110" s="413"/>
      <c r="F110" s="213"/>
      <c r="G110" s="213"/>
      <c r="H110" s="213"/>
      <c r="I110" s="414">
        <f t="shared" ref="I110:I120" si="23">E110+F110+G110+H110</f>
        <v>0</v>
      </c>
      <c r="J110" s="387"/>
      <c r="K110" s="213"/>
    </row>
    <row r="111" spans="1:11" x14ac:dyDescent="0.2">
      <c r="A111" s="191">
        <v>732114</v>
      </c>
      <c r="B111" s="194" t="s">
        <v>196</v>
      </c>
      <c r="C111" s="382">
        <f>C112+C113+C114+C115+C116+C117+C118</f>
        <v>138565</v>
      </c>
      <c r="E111" s="404">
        <f t="shared" ref="E111:K111" si="24">E112+E113+E114+E115+E116+E117+E118</f>
        <v>0</v>
      </c>
      <c r="F111" s="199">
        <f t="shared" si="24"/>
        <v>0</v>
      </c>
      <c r="G111" s="199">
        <f t="shared" si="24"/>
        <v>0</v>
      </c>
      <c r="H111" s="199">
        <f t="shared" si="24"/>
        <v>115000</v>
      </c>
      <c r="I111" s="405">
        <f t="shared" si="24"/>
        <v>115000</v>
      </c>
      <c r="J111" s="382">
        <f t="shared" si="24"/>
        <v>108500</v>
      </c>
      <c r="K111" s="199">
        <f t="shared" si="24"/>
        <v>108500</v>
      </c>
    </row>
    <row r="112" spans="1:11" ht="27.75" customHeight="1" x14ac:dyDescent="0.2">
      <c r="A112" s="191">
        <v>7321141</v>
      </c>
      <c r="B112" s="218" t="s">
        <v>581</v>
      </c>
      <c r="C112" s="382"/>
      <c r="D112" s="199">
        <v>3000</v>
      </c>
      <c r="E112" s="404"/>
      <c r="F112" s="199"/>
      <c r="G112" s="199"/>
      <c r="H112" s="199"/>
      <c r="I112" s="414">
        <f t="shared" si="23"/>
        <v>0</v>
      </c>
      <c r="J112" s="382"/>
      <c r="K112" s="199"/>
    </row>
    <row r="113" spans="1:13" ht="30" x14ac:dyDescent="0.2">
      <c r="A113" s="210">
        <v>7321143</v>
      </c>
      <c r="B113" s="438" t="s">
        <v>582</v>
      </c>
      <c r="C113" s="367">
        <v>89330</v>
      </c>
      <c r="D113" s="203">
        <v>40000</v>
      </c>
      <c r="E113" s="410"/>
      <c r="F113" s="203"/>
      <c r="G113" s="203"/>
      <c r="H113" s="203">
        <f>21000+19000</f>
        <v>40000</v>
      </c>
      <c r="I113" s="422">
        <f t="shared" si="23"/>
        <v>40000</v>
      </c>
      <c r="J113" s="367">
        <f>21000+19000</f>
        <v>40000</v>
      </c>
      <c r="K113" s="203">
        <f>21000+19000</f>
        <v>40000</v>
      </c>
    </row>
    <row r="114" spans="1:13" ht="27.75" customHeight="1" x14ac:dyDescent="0.2">
      <c r="A114" s="210">
        <v>7321143</v>
      </c>
      <c r="B114" s="439" t="s">
        <v>583</v>
      </c>
      <c r="C114" s="367">
        <v>7778</v>
      </c>
      <c r="D114" s="203">
        <v>8000</v>
      </c>
      <c r="E114" s="410"/>
      <c r="F114" s="203"/>
      <c r="G114" s="203"/>
      <c r="H114" s="203">
        <v>8000</v>
      </c>
      <c r="I114" s="422">
        <f t="shared" si="23"/>
        <v>8000</v>
      </c>
      <c r="J114" s="367">
        <f>9000-1500</f>
        <v>7500</v>
      </c>
      <c r="K114" s="203">
        <f>9000-1500</f>
        <v>7500</v>
      </c>
    </row>
    <row r="115" spans="1:13" ht="16.5" customHeight="1" x14ac:dyDescent="0.2">
      <c r="A115" s="191"/>
      <c r="B115" s="219" t="s">
        <v>584</v>
      </c>
      <c r="C115" s="382">
        <f>1000-1000</f>
        <v>0</v>
      </c>
      <c r="D115" s="199">
        <v>1000</v>
      </c>
      <c r="E115" s="404"/>
      <c r="F115" s="199"/>
      <c r="G115" s="199"/>
      <c r="H115" s="199">
        <v>1000</v>
      </c>
      <c r="I115" s="414">
        <f t="shared" si="23"/>
        <v>1000</v>
      </c>
      <c r="J115" s="382">
        <f>1000-1000</f>
        <v>0</v>
      </c>
      <c r="K115" s="199">
        <f>1000-1000</f>
        <v>0</v>
      </c>
    </row>
    <row r="116" spans="1:13" ht="33" customHeight="1" x14ac:dyDescent="0.2">
      <c r="A116" s="191"/>
      <c r="B116" s="369" t="s">
        <v>585</v>
      </c>
      <c r="C116" s="382">
        <v>38012</v>
      </c>
      <c r="D116" s="199">
        <v>35000</v>
      </c>
      <c r="E116" s="404"/>
      <c r="F116" s="199"/>
      <c r="G116" s="199"/>
      <c r="H116" s="199">
        <v>35000</v>
      </c>
      <c r="I116" s="414">
        <f t="shared" si="23"/>
        <v>35000</v>
      </c>
      <c r="J116" s="382">
        <f>25000+5000</f>
        <v>30000</v>
      </c>
      <c r="K116" s="199">
        <f>25000+5000</f>
        <v>30000</v>
      </c>
    </row>
    <row r="117" spans="1:13" ht="21" customHeight="1" x14ac:dyDescent="0.2">
      <c r="A117" s="210"/>
      <c r="B117" s="440" t="s">
        <v>586</v>
      </c>
      <c r="C117" s="367">
        <v>3445</v>
      </c>
      <c r="D117" s="203">
        <v>6000</v>
      </c>
      <c r="E117" s="410"/>
      <c r="F117" s="203"/>
      <c r="G117" s="203"/>
      <c r="H117" s="203">
        <f>5000+1000</f>
        <v>6000</v>
      </c>
      <c r="I117" s="422">
        <f t="shared" si="23"/>
        <v>6000</v>
      </c>
      <c r="J117" s="367">
        <f>5000+1000</f>
        <v>6000</v>
      </c>
      <c r="K117" s="203">
        <f>5000+1000</f>
        <v>6000</v>
      </c>
    </row>
    <row r="118" spans="1:13" ht="33.75" customHeight="1" x14ac:dyDescent="0.2">
      <c r="A118" s="210"/>
      <c r="B118" s="440" t="s">
        <v>587</v>
      </c>
      <c r="C118" s="367"/>
      <c r="D118" s="203">
        <v>25000</v>
      </c>
      <c r="E118" s="410"/>
      <c r="F118" s="203"/>
      <c r="G118" s="203"/>
      <c r="H118" s="203">
        <f>15000+10000</f>
        <v>25000</v>
      </c>
      <c r="I118" s="422">
        <f t="shared" si="23"/>
        <v>25000</v>
      </c>
      <c r="J118" s="367">
        <f>15000+10000</f>
        <v>25000</v>
      </c>
      <c r="K118" s="203">
        <f>15000+10000</f>
        <v>25000</v>
      </c>
    </row>
    <row r="119" spans="1:13" ht="43.5" customHeight="1" x14ac:dyDescent="0.2">
      <c r="A119" s="210">
        <v>732114</v>
      </c>
      <c r="B119" s="326" t="s">
        <v>579</v>
      </c>
      <c r="C119" s="367"/>
      <c r="D119" s="203"/>
      <c r="E119" s="410"/>
      <c r="F119" s="203"/>
      <c r="G119" s="203"/>
      <c r="H119" s="203">
        <f>Korisnici!K442+Korisnici!K451</f>
        <v>158000</v>
      </c>
      <c r="I119" s="422">
        <f t="shared" si="23"/>
        <v>158000</v>
      </c>
      <c r="J119" s="367">
        <v>50000</v>
      </c>
      <c r="K119" s="203">
        <v>50000</v>
      </c>
    </row>
    <row r="120" spans="1:13" ht="18.75" customHeight="1" x14ac:dyDescent="0.2">
      <c r="A120" s="191">
        <v>732114</v>
      </c>
      <c r="B120" s="220" t="s">
        <v>306</v>
      </c>
      <c r="C120" s="367">
        <v>2372</v>
      </c>
      <c r="D120" s="203">
        <v>5880</v>
      </c>
      <c r="E120" s="410"/>
      <c r="F120" s="203"/>
      <c r="G120" s="203"/>
      <c r="H120" s="203"/>
      <c r="I120" s="422">
        <f t="shared" si="23"/>
        <v>0</v>
      </c>
      <c r="J120" s="367"/>
      <c r="K120" s="203"/>
    </row>
    <row r="121" spans="1:13" ht="9" customHeight="1" x14ac:dyDescent="0.25">
      <c r="A121" s="210"/>
      <c r="B121" s="326"/>
      <c r="C121" s="367"/>
      <c r="D121" s="203"/>
      <c r="E121" s="424"/>
      <c r="F121" s="327"/>
      <c r="G121" s="327"/>
      <c r="H121" s="62"/>
      <c r="I121" s="422"/>
      <c r="J121" s="367"/>
      <c r="K121" s="203"/>
    </row>
    <row r="122" spans="1:13" ht="15.75" x14ac:dyDescent="0.25">
      <c r="A122" s="286">
        <v>740000</v>
      </c>
      <c r="B122" s="328" t="s">
        <v>259</v>
      </c>
      <c r="C122" s="329">
        <f>C123+C124+C125+C126+C127+C128+C129+C130</f>
        <v>372290</v>
      </c>
      <c r="D122" s="329">
        <f>D123+D125+D126+D127+D128+D129+D130</f>
        <v>2337787</v>
      </c>
      <c r="E122" s="329">
        <f>E123+E124+E125+E126+E127+E128+E129+E130</f>
        <v>0</v>
      </c>
      <c r="F122" s="329">
        <f>F123+F124+F125+F126+F127+F128+F129+F130</f>
        <v>0</v>
      </c>
      <c r="G122" s="329">
        <f>G123+G124+G125+G126+G127+G128+G129+G130</f>
        <v>0</v>
      </c>
      <c r="H122" s="329">
        <f>H123+H124+H125+H126+H127+H128+H129+H130</f>
        <v>3095052</v>
      </c>
      <c r="I122" s="425">
        <f>E122+F122+G122+H122</f>
        <v>3095052</v>
      </c>
      <c r="J122" s="329">
        <f>J123+J124+J125+J126+J127+J128+J129+J130</f>
        <v>2110751</v>
      </c>
      <c r="K122" s="329">
        <f>K123+K124+K125+K126+K127+K128+K129+K130</f>
        <v>2310751</v>
      </c>
      <c r="M122" s="9" t="e">
        <f>#REF!-I122</f>
        <v>#REF!</v>
      </c>
    </row>
    <row r="123" spans="1:13" ht="30.75" customHeight="1" x14ac:dyDescent="0.25">
      <c r="A123" s="513">
        <v>741121</v>
      </c>
      <c r="B123" s="514" t="s">
        <v>457</v>
      </c>
      <c r="C123" s="519">
        <v>10998</v>
      </c>
      <c r="D123" s="515"/>
      <c r="E123" s="516"/>
      <c r="F123" s="517"/>
      <c r="G123" s="517"/>
      <c r="H123" s="308">
        <v>300000</v>
      </c>
      <c r="I123" s="518">
        <f>E123+F123+G123+H123</f>
        <v>300000</v>
      </c>
      <c r="J123" s="519">
        <v>300000</v>
      </c>
      <c r="K123" s="515">
        <f>1000000+700000</f>
        <v>1700000</v>
      </c>
      <c r="L123" s="2" t="s">
        <v>964</v>
      </c>
    </row>
    <row r="124" spans="1:13" ht="33.75" customHeight="1" x14ac:dyDescent="0.25">
      <c r="A124" s="210">
        <v>742114</v>
      </c>
      <c r="B124" s="576" t="s">
        <v>458</v>
      </c>
      <c r="C124" s="367"/>
      <c r="E124" s="424"/>
      <c r="F124" s="327"/>
      <c r="G124" s="327"/>
      <c r="H124" s="62"/>
      <c r="I124" s="422">
        <f t="shared" ref="I124:I128" si="25">E124+F124+G124+H124</f>
        <v>0</v>
      </c>
      <c r="J124" s="367"/>
      <c r="K124" s="203"/>
    </row>
    <row r="125" spans="1:13" ht="75.75" customHeight="1" x14ac:dyDescent="0.25">
      <c r="A125" s="466">
        <v>742112</v>
      </c>
      <c r="B125" s="621" t="s">
        <v>577</v>
      </c>
      <c r="C125" s="474"/>
      <c r="D125" s="468">
        <v>1000000</v>
      </c>
      <c r="E125" s="470"/>
      <c r="F125" s="469"/>
      <c r="G125" s="469"/>
      <c r="H125" s="471">
        <f>454000+500000</f>
        <v>954000</v>
      </c>
      <c r="I125" s="622">
        <f t="shared" si="25"/>
        <v>954000</v>
      </c>
      <c r="J125" s="474">
        <v>1100000</v>
      </c>
      <c r="K125" s="468"/>
    </row>
    <row r="126" spans="1:13" ht="43.5" customHeight="1" x14ac:dyDescent="0.2">
      <c r="A126" s="210">
        <v>742112</v>
      </c>
      <c r="B126" s="202" t="s">
        <v>459</v>
      </c>
      <c r="C126" s="382">
        <v>208776</v>
      </c>
      <c r="D126" s="199">
        <v>327000</v>
      </c>
      <c r="E126" s="404"/>
      <c r="F126" s="199"/>
      <c r="G126" s="654"/>
      <c r="H126" s="199">
        <f>50000+963000+43000</f>
        <v>1056000</v>
      </c>
      <c r="I126" s="414">
        <f>E126+F126+G126+H126</f>
        <v>1056000</v>
      </c>
      <c r="J126" s="382">
        <v>270751</v>
      </c>
      <c r="K126" s="203">
        <f>500000-29249-200000</f>
        <v>270751</v>
      </c>
      <c r="L126" s="2" t="s">
        <v>580</v>
      </c>
    </row>
    <row r="127" spans="1:13" ht="165.75" x14ac:dyDescent="0.25">
      <c r="A127" s="365">
        <v>742114</v>
      </c>
      <c r="B127" s="326" t="s">
        <v>488</v>
      </c>
      <c r="C127" s="367">
        <v>110417</v>
      </c>
      <c r="D127" s="203">
        <v>710787</v>
      </c>
      <c r="E127" s="424"/>
      <c r="F127" s="327"/>
      <c r="G127" s="327"/>
      <c r="H127" s="62">
        <f>587652</f>
        <v>587652</v>
      </c>
      <c r="I127" s="422">
        <f t="shared" si="25"/>
        <v>587652</v>
      </c>
      <c r="J127" s="367">
        <v>340000</v>
      </c>
      <c r="K127" s="203">
        <f>340000-100000</f>
        <v>240000</v>
      </c>
    </row>
    <row r="128" spans="1:13" ht="15" customHeight="1" x14ac:dyDescent="0.25">
      <c r="A128" s="210">
        <v>742114</v>
      </c>
      <c r="B128" s="202" t="s">
        <v>588</v>
      </c>
      <c r="C128" s="367">
        <v>6062</v>
      </c>
      <c r="D128" s="846">
        <v>20000</v>
      </c>
      <c r="E128" s="424"/>
      <c r="F128" s="327"/>
      <c r="G128" s="327"/>
      <c r="H128" s="62">
        <f>20000+10000+70000</f>
        <v>100000</v>
      </c>
      <c r="I128" s="422">
        <f t="shared" si="25"/>
        <v>100000</v>
      </c>
      <c r="J128" s="367"/>
      <c r="K128" s="203"/>
      <c r="L128" s="2" t="s">
        <v>1208</v>
      </c>
    </row>
    <row r="129" spans="1:16" ht="30" customHeight="1" x14ac:dyDescent="0.2">
      <c r="A129" s="210">
        <v>742114</v>
      </c>
      <c r="B129" s="439" t="s">
        <v>589</v>
      </c>
      <c r="C129" s="367">
        <v>36037</v>
      </c>
      <c r="D129" s="203">
        <v>60000</v>
      </c>
      <c r="E129" s="410"/>
      <c r="F129" s="203"/>
      <c r="G129" s="203"/>
      <c r="H129" s="203">
        <v>75000</v>
      </c>
      <c r="I129" s="422">
        <f>E129+F129+G129+H129</f>
        <v>75000</v>
      </c>
      <c r="J129" s="367">
        <f>30000+20000</f>
        <v>50000</v>
      </c>
      <c r="K129" s="203">
        <f>30000+20000</f>
        <v>50000</v>
      </c>
    </row>
    <row r="130" spans="1:16" ht="32.25" customHeight="1" x14ac:dyDescent="0.2">
      <c r="A130" s="210">
        <v>742114</v>
      </c>
      <c r="B130" s="326" t="s">
        <v>590</v>
      </c>
      <c r="C130" s="367"/>
      <c r="D130" s="203">
        <v>220000</v>
      </c>
      <c r="E130" s="410"/>
      <c r="F130" s="203"/>
      <c r="G130" s="203"/>
      <c r="H130" s="203">
        <f>Korisnici!K462</f>
        <v>22400</v>
      </c>
      <c r="I130" s="422">
        <f>E130+F130+G130+H130</f>
        <v>22400</v>
      </c>
      <c r="J130" s="367">
        <v>50000</v>
      </c>
      <c r="K130" s="203">
        <v>50000</v>
      </c>
      <c r="L130" s="2" t="s">
        <v>1137</v>
      </c>
    </row>
    <row r="131" spans="1:16" ht="6.75" customHeight="1" x14ac:dyDescent="0.25">
      <c r="A131" s="191"/>
      <c r="B131" s="190"/>
      <c r="C131" s="382"/>
      <c r="D131" s="199"/>
      <c r="E131" s="402"/>
      <c r="F131" s="195"/>
      <c r="G131" s="195"/>
      <c r="H131" s="195"/>
      <c r="I131" s="405"/>
      <c r="J131" s="382"/>
      <c r="K131" s="199"/>
    </row>
    <row r="132" spans="1:16" ht="14.25" customHeight="1" x14ac:dyDescent="0.25">
      <c r="A132" s="189">
        <v>810000</v>
      </c>
      <c r="B132" s="192" t="s">
        <v>260</v>
      </c>
      <c r="C132" s="380">
        <f t="shared" ref="C132" si="26">C135</f>
        <v>190631</v>
      </c>
      <c r="D132" s="193">
        <f>D135</f>
        <v>510000</v>
      </c>
      <c r="E132" s="400">
        <f t="shared" ref="E132:K132" si="27">E135</f>
        <v>0</v>
      </c>
      <c r="F132" s="193">
        <f t="shared" si="27"/>
        <v>0</v>
      </c>
      <c r="G132" s="193">
        <f t="shared" si="27"/>
        <v>510000</v>
      </c>
      <c r="H132" s="193">
        <f t="shared" si="27"/>
        <v>0</v>
      </c>
      <c r="I132" s="401">
        <f t="shared" si="27"/>
        <v>510000</v>
      </c>
      <c r="J132" s="380">
        <f t="shared" si="27"/>
        <v>300000</v>
      </c>
      <c r="K132" s="193">
        <f t="shared" si="27"/>
        <v>300000</v>
      </c>
    </row>
    <row r="133" spans="1:16" ht="6.75" customHeight="1" x14ac:dyDescent="0.25">
      <c r="A133" s="191"/>
      <c r="B133" s="194"/>
      <c r="C133" s="382"/>
      <c r="D133" s="199"/>
      <c r="E133" s="402"/>
      <c r="F133" s="195"/>
      <c r="G133" s="195"/>
      <c r="H133" s="195"/>
      <c r="I133" s="405"/>
      <c r="J133" s="382"/>
      <c r="K133" s="199"/>
    </row>
    <row r="134" spans="1:16" ht="9.75" customHeight="1" x14ac:dyDescent="0.25">
      <c r="A134" s="191"/>
      <c r="B134" s="194"/>
      <c r="C134" s="382"/>
      <c r="D134" s="199"/>
      <c r="E134" s="402"/>
      <c r="F134" s="195"/>
      <c r="G134" s="195"/>
      <c r="H134" s="195"/>
      <c r="I134" s="405"/>
      <c r="J134" s="382"/>
      <c r="K134" s="199"/>
    </row>
    <row r="135" spans="1:16" ht="14.25" customHeight="1" x14ac:dyDescent="0.25">
      <c r="A135" s="189">
        <v>811000</v>
      </c>
      <c r="B135" s="192" t="s">
        <v>261</v>
      </c>
      <c r="C135" s="380">
        <f t="shared" ref="C135:K135" si="28">C136</f>
        <v>190631</v>
      </c>
      <c r="D135" s="193">
        <f>D136</f>
        <v>510000</v>
      </c>
      <c r="E135" s="400">
        <f t="shared" si="28"/>
        <v>0</v>
      </c>
      <c r="F135" s="193">
        <f t="shared" si="28"/>
        <v>0</v>
      </c>
      <c r="G135" s="193">
        <f t="shared" si="28"/>
        <v>510000</v>
      </c>
      <c r="H135" s="193">
        <f t="shared" si="28"/>
        <v>0</v>
      </c>
      <c r="I135" s="401">
        <f t="shared" si="28"/>
        <v>510000</v>
      </c>
      <c r="J135" s="380">
        <f t="shared" si="28"/>
        <v>300000</v>
      </c>
      <c r="K135" s="193">
        <f t="shared" si="28"/>
        <v>300000</v>
      </c>
      <c r="L135" s="563" t="s">
        <v>561</v>
      </c>
    </row>
    <row r="136" spans="1:16" x14ac:dyDescent="0.2">
      <c r="A136" s="191">
        <v>811111</v>
      </c>
      <c r="B136" s="194" t="s">
        <v>134</v>
      </c>
      <c r="C136" s="367">
        <v>190631</v>
      </c>
      <c r="D136" s="199">
        <v>510000</v>
      </c>
      <c r="E136" s="404"/>
      <c r="F136" s="199"/>
      <c r="G136" s="199">
        <f>300000+210000</f>
        <v>510000</v>
      </c>
      <c r="H136" s="199"/>
      <c r="I136" s="405">
        <f>E136+F136+G136+H136</f>
        <v>510000</v>
      </c>
      <c r="J136" s="367">
        <f>300000</f>
        <v>300000</v>
      </c>
      <c r="K136" s="367">
        <f>300000</f>
        <v>300000</v>
      </c>
      <c r="L136" s="669" t="s">
        <v>560</v>
      </c>
    </row>
    <row r="137" spans="1:16" ht="11.25" customHeight="1" x14ac:dyDescent="0.2">
      <c r="A137" s="221"/>
      <c r="B137" s="222"/>
      <c r="C137" s="224"/>
      <c r="D137" s="223"/>
      <c r="E137" s="428"/>
      <c r="F137" s="223"/>
      <c r="G137" s="223"/>
      <c r="H137" s="223"/>
      <c r="I137" s="429"/>
      <c r="J137" s="224"/>
      <c r="K137" s="224"/>
    </row>
    <row r="138" spans="1:16" ht="15.75" x14ac:dyDescent="0.25">
      <c r="A138" s="191"/>
      <c r="B138" s="225" t="s">
        <v>92</v>
      </c>
      <c r="C138" s="381">
        <f>C140+C139</f>
        <v>1050000</v>
      </c>
      <c r="D138" s="195">
        <f>D140+D139</f>
        <v>2385988</v>
      </c>
      <c r="E138" s="402">
        <f>E139+E140</f>
        <v>0</v>
      </c>
      <c r="F138" s="195">
        <f>F139+F140</f>
        <v>2633556</v>
      </c>
      <c r="G138" s="195">
        <f>G139+G140</f>
        <v>0</v>
      </c>
      <c r="H138" s="195">
        <f>H139+H140</f>
        <v>0</v>
      </c>
      <c r="I138" s="403">
        <f t="shared" ref="I138:I145" si="29">E138+F138+G138+H138</f>
        <v>2633556</v>
      </c>
      <c r="J138" s="381">
        <f>J140+J139</f>
        <v>2417368</v>
      </c>
      <c r="K138" s="195">
        <f>K140+K139</f>
        <v>610000</v>
      </c>
    </row>
    <row r="139" spans="1:16" x14ac:dyDescent="0.2">
      <c r="A139" s="191">
        <v>814331</v>
      </c>
      <c r="B139" s="202" t="s">
        <v>400</v>
      </c>
      <c r="C139" s="61">
        <v>1050000</v>
      </c>
      <c r="D139" s="199">
        <v>100000</v>
      </c>
      <c r="E139" s="404"/>
      <c r="F139" s="667">
        <f>200000+150000+20000-20000-200000</f>
        <v>150000</v>
      </c>
      <c r="G139" s="199"/>
      <c r="H139" s="199"/>
      <c r="I139" s="590">
        <f t="shared" si="29"/>
        <v>150000</v>
      </c>
      <c r="J139" s="61">
        <v>150000</v>
      </c>
      <c r="K139" s="39">
        <f>510000+100000</f>
        <v>610000</v>
      </c>
      <c r="L139" s="2" t="s">
        <v>964</v>
      </c>
    </row>
    <row r="140" spans="1:16" ht="29.25" customHeight="1" x14ac:dyDescent="0.2">
      <c r="A140" s="513">
        <v>815212</v>
      </c>
      <c r="B140" s="514" t="s">
        <v>401</v>
      </c>
      <c r="C140" s="522"/>
      <c r="D140" s="515">
        <v>2285988</v>
      </c>
      <c r="E140" s="520"/>
      <c r="F140" s="515">
        <f>1349872+1133684</f>
        <v>2483556</v>
      </c>
      <c r="G140" s="515"/>
      <c r="H140" s="515"/>
      <c r="I140" s="521">
        <f t="shared" si="29"/>
        <v>2483556</v>
      </c>
      <c r="J140" s="522">
        <v>2267368</v>
      </c>
      <c r="K140" s="308"/>
      <c r="L140" s="522">
        <f>674936+2267368</f>
        <v>2942304</v>
      </c>
      <c r="M140" s="2" t="s">
        <v>1080</v>
      </c>
    </row>
    <row r="141" spans="1:16" ht="12" customHeight="1" x14ac:dyDescent="0.2">
      <c r="A141" s="226"/>
      <c r="B141" s="227"/>
      <c r="C141" s="224"/>
      <c r="D141" s="224"/>
      <c r="E141" s="431"/>
      <c r="F141" s="224"/>
      <c r="G141" s="224"/>
      <c r="H141" s="224"/>
      <c r="I141" s="430">
        <f t="shared" si="29"/>
        <v>0</v>
      </c>
      <c r="J141" s="224"/>
      <c r="K141" s="224"/>
    </row>
    <row r="142" spans="1:16" ht="15.75" x14ac:dyDescent="0.25">
      <c r="A142" s="228">
        <v>590000</v>
      </c>
      <c r="B142" s="345" t="s">
        <v>276</v>
      </c>
      <c r="C142" s="392">
        <f>C143+C144+C145+C146+C147+C152+C155+C156</f>
        <v>0</v>
      </c>
      <c r="D142" s="432">
        <f>D143+D144+D145+D146+D147+D152</f>
        <v>2622335</v>
      </c>
      <c r="E142" s="432">
        <f>E143+E144+E145+E146+E147+E152+E155+E156+E158</f>
        <v>1418917</v>
      </c>
      <c r="F142" s="229">
        <f>F143+F144+F145+F146+F147+F152+F155+F156+F157+F158+F154</f>
        <v>0</v>
      </c>
      <c r="G142" s="229">
        <f>G143+G144+G145+G146+G147+G152+G153+G155+G156+G157+G158+G154</f>
        <v>1856358</v>
      </c>
      <c r="H142" s="229">
        <f>H143+H144+H145+H146+H147+H152+H153+H155+H156+H157+H158+H154</f>
        <v>9999.68</v>
      </c>
      <c r="I142" s="433">
        <f t="shared" si="29"/>
        <v>3285274.68</v>
      </c>
      <c r="J142" s="392">
        <f>J143+J144+J145+J146+J147+J152+J155+J156</f>
        <v>883500</v>
      </c>
      <c r="K142" s="229">
        <f>K143+K144+K145+K146+K147+K152+K155+K156</f>
        <v>883500</v>
      </c>
      <c r="M142" s="9" t="e">
        <f>#REF!-I142</f>
        <v>#REF!</v>
      </c>
    </row>
    <row r="143" spans="1:16" ht="30.75" x14ac:dyDescent="0.25">
      <c r="A143" s="355"/>
      <c r="B143" s="356" t="s">
        <v>311</v>
      </c>
      <c r="C143" s="393"/>
      <c r="D143" s="357">
        <v>1155860</v>
      </c>
      <c r="E143" s="426"/>
      <c r="F143" s="354"/>
      <c r="G143" s="250">
        <f>(Korisnici!J557+Korisnici!J562+Korisnici!J563+Korisnici!J571+Korisnici!J575+Korisnici!J576+Korisnici!J577+Korisnici!J578+Korisnici!J579+Korisnici!J580+Korisnici!J581+Korisnici!J582+Korisnici!J588+Korisnici!J592+Korisnici!J593+Korisnici!J594+Korisnici!J595+Korisnici!J604+Korisnici!J605+Korisnici!J609+Korisnici!J618)-(G69+G88+G89+G90+G91)-32500</f>
        <v>1207431</v>
      </c>
      <c r="H143" s="354"/>
      <c r="I143" s="434">
        <f t="shared" si="29"/>
        <v>1207431</v>
      </c>
      <c r="J143" s="393">
        <v>833500</v>
      </c>
      <c r="K143" s="357">
        <f>899536-43808-22228</f>
        <v>833500</v>
      </c>
      <c r="L143" s="2" t="s">
        <v>557</v>
      </c>
    </row>
    <row r="144" spans="1:16" ht="30.75" x14ac:dyDescent="0.25">
      <c r="A144" s="358"/>
      <c r="B144" s="359" t="s">
        <v>312</v>
      </c>
      <c r="C144" s="582"/>
      <c r="D144" s="360">
        <v>318176</v>
      </c>
      <c r="E144" s="423"/>
      <c r="F144" s="282"/>
      <c r="G144" s="160">
        <f>Korisnici!J620-PRIMICI!G76</f>
        <v>648927</v>
      </c>
      <c r="H144" s="282"/>
      <c r="I144" s="435">
        <f t="shared" si="29"/>
        <v>648927</v>
      </c>
      <c r="J144" s="582">
        <v>50000</v>
      </c>
      <c r="K144" s="360">
        <v>50000</v>
      </c>
      <c r="L144" s="2" t="s">
        <v>556</v>
      </c>
      <c r="N144" s="2">
        <f>50000+318176</f>
        <v>368176</v>
      </c>
      <c r="P144" s="2">
        <f>26976245-1715050</f>
        <v>25261195</v>
      </c>
    </row>
    <row r="145" spans="1:13" ht="45.75" x14ac:dyDescent="0.25">
      <c r="A145" s="230"/>
      <c r="B145" s="231" t="s">
        <v>313</v>
      </c>
      <c r="C145" s="394"/>
      <c r="D145" s="232">
        <v>11937</v>
      </c>
      <c r="E145" s="402"/>
      <c r="F145" s="195"/>
      <c r="G145" s="39"/>
      <c r="H145" s="39"/>
      <c r="I145" s="436">
        <f t="shared" si="29"/>
        <v>0</v>
      </c>
      <c r="J145" s="394"/>
      <c r="K145" s="233"/>
    </row>
    <row r="146" spans="1:13" ht="30.75" x14ac:dyDescent="0.25">
      <c r="A146" s="545"/>
      <c r="B146" s="546" t="s">
        <v>314</v>
      </c>
      <c r="C146" s="551"/>
      <c r="D146" s="547">
        <v>82792</v>
      </c>
      <c r="E146" s="548"/>
      <c r="F146" s="549"/>
      <c r="G146" s="547">
        <f>8179-8179</f>
        <v>0</v>
      </c>
      <c r="H146" s="547">
        <f>Korisnici!L585+Korisnici!L599+Korisnici!L601</f>
        <v>-0.31999999999970896</v>
      </c>
      <c r="I146" s="550">
        <f t="shared" ref="I146:I158" si="30">E146+F146+G146+H146</f>
        <v>-0.31999999999970896</v>
      </c>
      <c r="J146" s="551"/>
      <c r="K146" s="552"/>
      <c r="L146" s="9" t="s">
        <v>555</v>
      </c>
    </row>
    <row r="147" spans="1:13" ht="29.25" customHeight="1" x14ac:dyDescent="0.25">
      <c r="A147" s="230"/>
      <c r="B147" s="564" t="s">
        <v>1003</v>
      </c>
      <c r="C147" s="395"/>
      <c r="D147" s="232">
        <v>1053570</v>
      </c>
      <c r="E147" s="680">
        <f>1000000+882191-442094-7180-14000</f>
        <v>1418917</v>
      </c>
      <c r="F147" s="195"/>
      <c r="G147" s="39"/>
      <c r="H147" s="553"/>
      <c r="I147" s="436">
        <f t="shared" si="30"/>
        <v>1418917</v>
      </c>
      <c r="J147" s="395"/>
      <c r="K147" s="196"/>
      <c r="L147" s="677">
        <f>Korisnici!K585+Korisnici!K599</f>
        <v>-0.31999999999970896</v>
      </c>
      <c r="M147" s="2" t="s">
        <v>578</v>
      </c>
    </row>
    <row r="148" spans="1:13" ht="21" customHeight="1" x14ac:dyDescent="0.25">
      <c r="A148" s="230"/>
      <c r="B148" s="231" t="s">
        <v>448</v>
      </c>
      <c r="C148" s="395"/>
      <c r="D148" s="232"/>
      <c r="E148" s="402"/>
      <c r="F148" s="195"/>
      <c r="G148" s="39"/>
      <c r="H148" s="39"/>
      <c r="I148" s="436">
        <f t="shared" si="30"/>
        <v>0</v>
      </c>
      <c r="J148" s="395"/>
      <c r="K148" s="196"/>
      <c r="L148" s="2">
        <f>1000000-296011</f>
        <v>703989</v>
      </c>
    </row>
    <row r="149" spans="1:13" ht="32.25" customHeight="1" x14ac:dyDescent="0.25">
      <c r="A149" s="230"/>
      <c r="B149" s="231" t="s">
        <v>482</v>
      </c>
      <c r="C149" s="395"/>
      <c r="D149" s="232"/>
      <c r="E149" s="402"/>
      <c r="F149" s="195"/>
      <c r="G149" s="39"/>
      <c r="H149" s="39"/>
      <c r="I149" s="436">
        <f t="shared" si="30"/>
        <v>0</v>
      </c>
      <c r="J149" s="395"/>
      <c r="K149" s="196"/>
      <c r="L149" s="2">
        <f>94605-45047</f>
        <v>49558</v>
      </c>
    </row>
    <row r="150" spans="1:13" ht="120" customHeight="1" x14ac:dyDescent="0.25">
      <c r="A150" s="210"/>
      <c r="B150" s="249" t="s">
        <v>493</v>
      </c>
      <c r="C150" s="386"/>
      <c r="D150" s="847">
        <v>8570</v>
      </c>
      <c r="E150" s="426"/>
      <c r="F150" s="354"/>
      <c r="G150" s="354"/>
      <c r="H150" s="250"/>
      <c r="I150" s="427">
        <f t="shared" si="30"/>
        <v>0</v>
      </c>
      <c r="J150" s="386"/>
      <c r="K150" s="285"/>
    </row>
    <row r="151" spans="1:13" ht="75.75" customHeight="1" x14ac:dyDescent="0.25">
      <c r="A151" s="230"/>
      <c r="B151" s="498" t="s">
        <v>485</v>
      </c>
      <c r="C151" s="395"/>
      <c r="D151" s="357">
        <v>45000</v>
      </c>
      <c r="E151" s="426"/>
      <c r="F151" s="354"/>
      <c r="G151" s="250"/>
      <c r="H151" s="250"/>
      <c r="I151" s="434">
        <f t="shared" si="30"/>
        <v>0</v>
      </c>
      <c r="J151" s="395"/>
      <c r="K151" s="196"/>
    </row>
    <row r="152" spans="1:13" ht="30.75" customHeight="1" x14ac:dyDescent="0.25">
      <c r="A152" s="230"/>
      <c r="B152" s="564" t="s">
        <v>1170</v>
      </c>
      <c r="C152" s="394"/>
      <c r="D152" s="394"/>
      <c r="E152" s="437"/>
      <c r="F152" s="331"/>
      <c r="G152" s="591"/>
      <c r="H152" s="232">
        <v>10000</v>
      </c>
      <c r="I152" s="526">
        <f t="shared" si="30"/>
        <v>10000</v>
      </c>
      <c r="J152" s="394"/>
      <c r="K152" s="233"/>
    </row>
    <row r="153" spans="1:13" ht="60.75" customHeight="1" x14ac:dyDescent="0.25">
      <c r="A153" s="230"/>
      <c r="B153" s="564" t="s">
        <v>464</v>
      </c>
      <c r="C153" s="394"/>
      <c r="D153" s="394"/>
      <c r="E153" s="437"/>
      <c r="F153" s="331"/>
      <c r="G153" s="591"/>
      <c r="H153" s="591"/>
      <c r="I153" s="526">
        <f t="shared" si="30"/>
        <v>0</v>
      </c>
      <c r="J153" s="394"/>
      <c r="K153" s="233"/>
    </row>
    <row r="154" spans="1:13" ht="48.75" customHeight="1" x14ac:dyDescent="0.25">
      <c r="A154" s="230"/>
      <c r="B154" s="564" t="s">
        <v>465</v>
      </c>
      <c r="C154" s="564"/>
      <c r="D154" s="564"/>
      <c r="E154" s="195"/>
      <c r="F154" s="608">
        <f>1050000-1050000</f>
        <v>0</v>
      </c>
      <c r="G154" s="195"/>
      <c r="H154" s="195"/>
      <c r="I154" s="526">
        <f>E154+F154+G154+H154</f>
        <v>0</v>
      </c>
      <c r="J154" s="196"/>
      <c r="K154" s="196"/>
    </row>
    <row r="155" spans="1:13" ht="29.25" customHeight="1" x14ac:dyDescent="0.25">
      <c r="A155" s="230"/>
      <c r="B155" s="366" t="s">
        <v>397</v>
      </c>
      <c r="C155" s="840"/>
      <c r="D155" s="840"/>
      <c r="E155" s="402"/>
      <c r="F155" s="195"/>
      <c r="G155" s="195"/>
      <c r="H155" s="62"/>
      <c r="I155" s="526">
        <f t="shared" si="30"/>
        <v>0</v>
      </c>
      <c r="J155" s="395"/>
      <c r="K155" s="196"/>
    </row>
    <row r="156" spans="1:13" ht="83.25" customHeight="1" x14ac:dyDescent="0.25">
      <c r="A156" s="230"/>
      <c r="B156" s="620" t="s">
        <v>398</v>
      </c>
      <c r="C156" s="841"/>
      <c r="D156" s="841"/>
      <c r="E156" s="510"/>
      <c r="F156" s="511"/>
      <c r="G156" s="511"/>
      <c r="H156" s="512"/>
      <c r="I156" s="526">
        <f t="shared" si="30"/>
        <v>0</v>
      </c>
      <c r="J156" s="395"/>
      <c r="K156" s="196"/>
    </row>
    <row r="157" spans="1:13" ht="72.75" customHeight="1" x14ac:dyDescent="0.25">
      <c r="A157" s="230"/>
      <c r="B157" s="150" t="s">
        <v>388</v>
      </c>
      <c r="C157" s="842"/>
      <c r="D157" s="842"/>
      <c r="E157" s="402"/>
      <c r="F157" s="195"/>
      <c r="G157" s="195"/>
      <c r="H157" s="39"/>
      <c r="I157" s="526">
        <f t="shared" si="30"/>
        <v>0</v>
      </c>
      <c r="J157" s="395"/>
      <c r="K157" s="196"/>
    </row>
    <row r="158" spans="1:13" ht="30.75" x14ac:dyDescent="0.25">
      <c r="A158" s="230"/>
      <c r="B158" s="202" t="s">
        <v>399</v>
      </c>
      <c r="C158" s="839"/>
      <c r="D158" s="839"/>
      <c r="E158" s="408"/>
      <c r="F158" s="195"/>
      <c r="G158" s="195"/>
      <c r="H158" s="195"/>
      <c r="I158" s="526">
        <f t="shared" si="30"/>
        <v>0</v>
      </c>
      <c r="J158" s="395"/>
      <c r="K158" s="196"/>
    </row>
    <row r="159" spans="1:13" x14ac:dyDescent="0.2">
      <c r="A159" s="234"/>
    </row>
    <row r="160" spans="1:13" x14ac:dyDescent="0.2">
      <c r="A160" s="234"/>
      <c r="B160" s="235"/>
      <c r="C160" s="235"/>
      <c r="D160" s="235"/>
      <c r="E160" s="283"/>
      <c r="F160" s="283"/>
      <c r="G160" s="283"/>
      <c r="H160" s="283"/>
      <c r="I160" s="236"/>
      <c r="J160" s="236"/>
      <c r="K160" s="236"/>
    </row>
    <row r="161" spans="1:11" x14ac:dyDescent="0.2">
      <c r="A161" s="234"/>
      <c r="B161" s="235"/>
      <c r="C161" s="235"/>
      <c r="D161" s="235"/>
      <c r="I161" s="235"/>
      <c r="J161" s="235"/>
      <c r="K161" s="235"/>
    </row>
    <row r="162" spans="1:11" x14ac:dyDescent="0.2">
      <c r="A162" s="234"/>
      <c r="B162" s="235"/>
      <c r="C162" s="235"/>
      <c r="D162" s="235"/>
      <c r="I162" s="235"/>
      <c r="J162" s="235"/>
      <c r="K162" s="235"/>
    </row>
    <row r="163" spans="1:11" x14ac:dyDescent="0.2">
      <c r="A163" s="234"/>
      <c r="B163" s="235"/>
      <c r="C163" s="235"/>
      <c r="D163" s="235"/>
      <c r="I163" s="235"/>
      <c r="J163" s="235"/>
      <c r="K163" s="235"/>
    </row>
    <row r="164" spans="1:11" ht="15.75" x14ac:dyDescent="0.25">
      <c r="A164" s="210"/>
      <c r="B164" s="350"/>
      <c r="C164" s="838"/>
      <c r="D164" s="838"/>
      <c r="E164" s="424"/>
      <c r="F164" s="327"/>
      <c r="G164" s="327"/>
      <c r="H164" s="62"/>
      <c r="I164" s="422"/>
      <c r="J164" s="367"/>
      <c r="K164" s="203"/>
    </row>
    <row r="165" spans="1:11" x14ac:dyDescent="0.2">
      <c r="A165" s="234"/>
      <c r="B165" s="235"/>
      <c r="C165" s="235"/>
      <c r="D165" s="235"/>
      <c r="I165" s="235"/>
      <c r="J165" s="235"/>
      <c r="K165" s="235"/>
    </row>
    <row r="166" spans="1:11" x14ac:dyDescent="0.2">
      <c r="A166" s="234"/>
      <c r="B166" s="235"/>
      <c r="C166" s="235"/>
      <c r="D166" s="235"/>
      <c r="I166" s="235"/>
      <c r="J166" s="235"/>
      <c r="K166" s="235"/>
    </row>
    <row r="167" spans="1:11" x14ac:dyDescent="0.2">
      <c r="A167" s="234"/>
      <c r="B167" s="235"/>
      <c r="C167" s="235"/>
      <c r="D167" s="235"/>
      <c r="I167" s="235"/>
      <c r="J167" s="235"/>
      <c r="K167" s="235"/>
    </row>
    <row r="168" spans="1:11" x14ac:dyDescent="0.2">
      <c r="A168" s="234"/>
      <c r="B168" s="235"/>
      <c r="C168" s="235"/>
      <c r="D168" s="235"/>
      <c r="I168" s="235"/>
      <c r="J168" s="235"/>
      <c r="K168" s="235"/>
    </row>
    <row r="169" spans="1:11" x14ac:dyDescent="0.2">
      <c r="A169" s="234"/>
      <c r="B169" s="235"/>
      <c r="C169" s="235"/>
      <c r="D169" s="235"/>
      <c r="I169" s="235"/>
      <c r="J169" s="235"/>
      <c r="K169" s="235"/>
    </row>
    <row r="170" spans="1:11" x14ac:dyDescent="0.2">
      <c r="A170" s="234"/>
      <c r="B170" s="235"/>
      <c r="C170" s="235"/>
      <c r="D170" s="235"/>
      <c r="I170" s="235"/>
      <c r="J170" s="235"/>
      <c r="K170" s="235"/>
    </row>
    <row r="171" spans="1:11" x14ac:dyDescent="0.2">
      <c r="A171" s="234"/>
      <c r="B171" s="235"/>
      <c r="C171" s="235"/>
      <c r="D171" s="235"/>
      <c r="I171" s="235"/>
      <c r="J171" s="235"/>
      <c r="K171" s="235"/>
    </row>
    <row r="172" spans="1:11" x14ac:dyDescent="0.2">
      <c r="A172" s="234"/>
      <c r="B172" s="235"/>
      <c r="C172" s="235"/>
      <c r="D172" s="235"/>
      <c r="I172" s="235"/>
      <c r="J172" s="235"/>
      <c r="K172" s="235"/>
    </row>
    <row r="173" spans="1:11" x14ac:dyDescent="0.2">
      <c r="A173" s="234"/>
      <c r="B173" s="235"/>
      <c r="C173" s="235"/>
      <c r="D173" s="235"/>
      <c r="I173" s="235"/>
      <c r="J173" s="235"/>
      <c r="K173" s="235"/>
    </row>
    <row r="174" spans="1:11" x14ac:dyDescent="0.2">
      <c r="A174" s="234"/>
      <c r="B174" s="235"/>
      <c r="C174" s="235"/>
      <c r="D174" s="235"/>
      <c r="I174" s="235"/>
      <c r="J174" s="235"/>
      <c r="K174" s="235"/>
    </row>
    <row r="175" spans="1:11" x14ac:dyDescent="0.2">
      <c r="A175" s="234"/>
      <c r="B175" s="235"/>
      <c r="C175" s="235"/>
      <c r="D175" s="235"/>
      <c r="I175" s="235"/>
      <c r="J175" s="235"/>
      <c r="K175" s="235"/>
    </row>
    <row r="176" spans="1:11" x14ac:dyDescent="0.2">
      <c r="A176" s="234"/>
      <c r="B176" s="235"/>
      <c r="C176" s="235"/>
      <c r="D176" s="235"/>
      <c r="I176" s="235"/>
      <c r="J176" s="235"/>
      <c r="K176" s="235"/>
    </row>
    <row r="177" spans="1:11" x14ac:dyDescent="0.2">
      <c r="A177" s="234"/>
      <c r="B177" s="235"/>
      <c r="C177" s="235"/>
      <c r="D177" s="235"/>
      <c r="I177" s="235"/>
      <c r="J177" s="235"/>
      <c r="K177" s="235"/>
    </row>
    <row r="178" spans="1:11" x14ac:dyDescent="0.2">
      <c r="A178" s="234"/>
      <c r="B178" s="235"/>
      <c r="C178" s="235"/>
      <c r="D178" s="235"/>
      <c r="I178" s="235"/>
      <c r="J178" s="235"/>
      <c r="K178" s="235"/>
    </row>
    <row r="179" spans="1:11" x14ac:dyDescent="0.2">
      <c r="A179" s="234"/>
      <c r="B179" s="235"/>
      <c r="C179" s="235"/>
      <c r="D179" s="235"/>
      <c r="I179" s="235"/>
      <c r="J179" s="235"/>
      <c r="K179" s="235"/>
    </row>
    <row r="180" spans="1:11" x14ac:dyDescent="0.2">
      <c r="A180" s="234"/>
      <c r="B180" s="235"/>
      <c r="C180" s="235"/>
      <c r="D180" s="235"/>
      <c r="I180" s="235"/>
      <c r="J180" s="235"/>
      <c r="K180" s="235"/>
    </row>
    <row r="181" spans="1:11" x14ac:dyDescent="0.2">
      <c r="A181" s="234"/>
      <c r="B181" s="235"/>
      <c r="C181" s="235"/>
      <c r="D181" s="235"/>
      <c r="I181" s="235"/>
      <c r="J181" s="235"/>
      <c r="K181" s="235"/>
    </row>
    <row r="182" spans="1:11" x14ac:dyDescent="0.2">
      <c r="B182" s="235"/>
      <c r="C182" s="235"/>
      <c r="D182" s="235"/>
      <c r="I182" s="235"/>
      <c r="J182" s="235"/>
      <c r="K182" s="235"/>
    </row>
    <row r="183" spans="1:11" x14ac:dyDescent="0.2">
      <c r="B183" s="235"/>
      <c r="C183" s="235"/>
      <c r="D183" s="235"/>
      <c r="I183" s="235"/>
      <c r="J183" s="235"/>
      <c r="K183" s="235"/>
    </row>
    <row r="184" spans="1:11" x14ac:dyDescent="0.2">
      <c r="B184" s="235"/>
      <c r="C184" s="235"/>
      <c r="D184" s="235"/>
      <c r="I184" s="235"/>
      <c r="J184" s="235"/>
      <c r="K184" s="235"/>
    </row>
    <row r="185" spans="1:11" x14ac:dyDescent="0.2">
      <c r="B185" s="235"/>
      <c r="C185" s="235"/>
      <c r="D185" s="235"/>
      <c r="I185" s="235"/>
      <c r="J185" s="235"/>
      <c r="K185" s="235"/>
    </row>
    <row r="186" spans="1:11" x14ac:dyDescent="0.2">
      <c r="B186" s="235"/>
      <c r="C186" s="235"/>
      <c r="D186" s="235"/>
      <c r="I186" s="235"/>
      <c r="J186" s="235"/>
      <c r="K186" s="235"/>
    </row>
    <row r="187" spans="1:11" x14ac:dyDescent="0.2">
      <c r="B187" s="235"/>
      <c r="C187" s="235"/>
      <c r="D187" s="235"/>
      <c r="I187" s="235"/>
      <c r="J187" s="235"/>
      <c r="K187" s="235"/>
    </row>
    <row r="188" spans="1:11" x14ac:dyDescent="0.2">
      <c r="B188" s="235"/>
      <c r="C188" s="235"/>
      <c r="D188" s="235"/>
      <c r="I188" s="235"/>
      <c r="J188" s="235"/>
      <c r="K188" s="235"/>
    </row>
    <row r="189" spans="1:11" x14ac:dyDescent="0.2">
      <c r="B189" s="235"/>
      <c r="C189" s="235"/>
      <c r="D189" s="235"/>
      <c r="I189" s="235"/>
      <c r="J189" s="235"/>
      <c r="K189" s="235"/>
    </row>
    <row r="190" spans="1:11" x14ac:dyDescent="0.2">
      <c r="A190" s="2"/>
      <c r="B190" s="235"/>
      <c r="C190" s="235"/>
      <c r="D190" s="235"/>
      <c r="I190" s="235"/>
      <c r="J190" s="235"/>
      <c r="K190" s="235"/>
    </row>
    <row r="191" spans="1:11" x14ac:dyDescent="0.2">
      <c r="A191" s="2"/>
      <c r="B191" s="235"/>
      <c r="C191" s="235"/>
      <c r="D191" s="235"/>
      <c r="I191" s="235"/>
      <c r="J191" s="235"/>
      <c r="K191" s="235"/>
    </row>
    <row r="192" spans="1:11" x14ac:dyDescent="0.2">
      <c r="A192" s="2"/>
      <c r="B192" s="235"/>
      <c r="C192" s="235"/>
      <c r="D192" s="235"/>
      <c r="I192" s="235"/>
      <c r="J192" s="235"/>
      <c r="K192" s="235"/>
    </row>
    <row r="193" spans="1:11" x14ac:dyDescent="0.2">
      <c r="A193" s="2"/>
      <c r="B193" s="235"/>
      <c r="C193" s="235"/>
      <c r="D193" s="235"/>
      <c r="I193" s="235"/>
      <c r="J193" s="235"/>
      <c r="K193" s="235"/>
    </row>
    <row r="194" spans="1:11" x14ac:dyDescent="0.2">
      <c r="A194" s="2"/>
      <c r="B194" s="235"/>
      <c r="C194" s="235"/>
      <c r="D194" s="235"/>
      <c r="I194" s="235"/>
      <c r="J194" s="235"/>
      <c r="K194" s="235"/>
    </row>
    <row r="195" spans="1:11" x14ac:dyDescent="0.2">
      <c r="A195" s="2"/>
      <c r="B195" s="235"/>
      <c r="C195" s="235"/>
      <c r="D195" s="235"/>
      <c r="I195" s="235"/>
      <c r="J195" s="235"/>
      <c r="K195" s="235"/>
    </row>
    <row r="196" spans="1:11" x14ac:dyDescent="0.2">
      <c r="A196" s="2"/>
      <c r="B196" s="235"/>
      <c r="C196" s="235"/>
      <c r="D196" s="235"/>
      <c r="I196" s="235"/>
      <c r="J196" s="235"/>
      <c r="K196" s="235"/>
    </row>
    <row r="197" spans="1:11" x14ac:dyDescent="0.2">
      <c r="A197" s="2"/>
      <c r="B197" s="235"/>
      <c r="C197" s="235"/>
      <c r="D197" s="235"/>
      <c r="I197" s="235"/>
      <c r="J197" s="235"/>
      <c r="K197" s="235"/>
    </row>
    <row r="198" spans="1:11" x14ac:dyDescent="0.2">
      <c r="A198" s="2"/>
      <c r="B198" s="235"/>
      <c r="C198" s="235"/>
      <c r="D198" s="235"/>
      <c r="I198" s="235"/>
      <c r="J198" s="235"/>
      <c r="K198" s="235"/>
    </row>
    <row r="199" spans="1:11" x14ac:dyDescent="0.2">
      <c r="A199" s="2"/>
      <c r="B199" s="235"/>
      <c r="C199" s="235"/>
      <c r="D199" s="235"/>
      <c r="I199" s="235"/>
      <c r="J199" s="235"/>
      <c r="K199" s="235"/>
    </row>
    <row r="200" spans="1:11" x14ac:dyDescent="0.2">
      <c r="A200" s="2"/>
      <c r="B200" s="235"/>
      <c r="C200" s="235"/>
      <c r="D200" s="235"/>
      <c r="I200" s="235"/>
      <c r="J200" s="235"/>
      <c r="K200" s="235"/>
    </row>
    <row r="201" spans="1:11" x14ac:dyDescent="0.2">
      <c r="A201" s="2"/>
      <c r="B201" s="235"/>
      <c r="C201" s="235"/>
      <c r="D201" s="235"/>
      <c r="I201" s="235"/>
      <c r="J201" s="235"/>
      <c r="K201" s="235"/>
    </row>
    <row r="202" spans="1:11" x14ac:dyDescent="0.2">
      <c r="A202" s="2"/>
      <c r="B202" s="235"/>
      <c r="C202" s="235"/>
      <c r="D202" s="235"/>
      <c r="I202" s="235"/>
      <c r="J202" s="235"/>
      <c r="K202" s="235"/>
    </row>
    <row r="203" spans="1:11" x14ac:dyDescent="0.2">
      <c r="A203" s="2"/>
      <c r="B203" s="235"/>
      <c r="C203" s="235"/>
      <c r="D203" s="235"/>
      <c r="I203" s="235"/>
      <c r="J203" s="235"/>
      <c r="K203" s="235"/>
    </row>
    <row r="204" spans="1:11" x14ac:dyDescent="0.2">
      <c r="A204" s="2"/>
      <c r="B204" s="235"/>
      <c r="C204" s="235"/>
      <c r="D204" s="235"/>
      <c r="I204" s="235"/>
      <c r="J204" s="235"/>
      <c r="K204" s="235"/>
    </row>
    <row r="205" spans="1:11" x14ac:dyDescent="0.2">
      <c r="A205" s="2"/>
      <c r="B205" s="235"/>
      <c r="C205" s="235"/>
      <c r="D205" s="235"/>
      <c r="I205" s="235"/>
      <c r="J205" s="235"/>
      <c r="K205" s="235"/>
    </row>
    <row r="206" spans="1:11" x14ac:dyDescent="0.2">
      <c r="A206" s="2"/>
      <c r="B206" s="235"/>
      <c r="C206" s="235"/>
      <c r="D206" s="235"/>
      <c r="I206" s="235"/>
      <c r="J206" s="235"/>
      <c r="K206" s="235"/>
    </row>
    <row r="207" spans="1:11" x14ac:dyDescent="0.2">
      <c r="A207" s="2"/>
      <c r="B207" s="235"/>
      <c r="C207" s="235"/>
      <c r="D207" s="235"/>
      <c r="I207" s="235"/>
      <c r="J207" s="235"/>
      <c r="K207" s="235"/>
    </row>
    <row r="208" spans="1:11" x14ac:dyDescent="0.2">
      <c r="A208" s="2"/>
      <c r="B208" s="235"/>
      <c r="C208" s="235"/>
      <c r="D208" s="235"/>
      <c r="I208" s="235"/>
      <c r="J208" s="235"/>
      <c r="K208" s="235"/>
    </row>
    <row r="209" spans="1:11" x14ac:dyDescent="0.2">
      <c r="A209" s="2"/>
      <c r="B209" s="235"/>
      <c r="C209" s="235"/>
      <c r="D209" s="235"/>
      <c r="I209" s="235"/>
      <c r="J209" s="235"/>
      <c r="K209" s="235"/>
    </row>
    <row r="210" spans="1:11" x14ac:dyDescent="0.2">
      <c r="A210" s="2"/>
      <c r="B210" s="235"/>
      <c r="C210" s="235"/>
      <c r="D210" s="235"/>
      <c r="I210" s="235"/>
      <c r="J210" s="235"/>
      <c r="K210" s="235"/>
    </row>
    <row r="211" spans="1:11" x14ac:dyDescent="0.2">
      <c r="A211" s="2"/>
      <c r="B211" s="235"/>
      <c r="C211" s="235"/>
      <c r="D211" s="235"/>
      <c r="I211" s="235"/>
      <c r="J211" s="235"/>
      <c r="K211" s="235"/>
    </row>
    <row r="212" spans="1:11" x14ac:dyDescent="0.2">
      <c r="A212" s="2"/>
      <c r="B212" s="235"/>
      <c r="C212" s="235"/>
      <c r="D212" s="235"/>
      <c r="I212" s="235"/>
      <c r="J212" s="235"/>
      <c r="K212" s="235"/>
    </row>
    <row r="213" spans="1:11" x14ac:dyDescent="0.2">
      <c r="A213" s="2"/>
      <c r="B213" s="235"/>
      <c r="C213" s="235"/>
      <c r="D213" s="235"/>
      <c r="I213" s="235"/>
      <c r="J213" s="235"/>
      <c r="K213" s="235"/>
    </row>
    <row r="214" spans="1:11" x14ac:dyDescent="0.2">
      <c r="A214" s="2"/>
      <c r="B214" s="235"/>
      <c r="C214" s="235"/>
      <c r="D214" s="235"/>
      <c r="I214" s="235"/>
      <c r="J214" s="235"/>
      <c r="K214" s="235"/>
    </row>
    <row r="215" spans="1:11" x14ac:dyDescent="0.2">
      <c r="A215" s="2"/>
      <c r="B215" s="235"/>
      <c r="C215" s="235"/>
      <c r="D215" s="235"/>
      <c r="I215" s="235"/>
      <c r="J215" s="235"/>
      <c r="K215" s="235"/>
    </row>
    <row r="216" spans="1:11" x14ac:dyDescent="0.2">
      <c r="A216" s="2"/>
      <c r="B216" s="235"/>
      <c r="C216" s="235"/>
      <c r="D216" s="235"/>
      <c r="I216" s="235"/>
      <c r="J216" s="235"/>
      <c r="K216" s="235"/>
    </row>
    <row r="217" spans="1:11" x14ac:dyDescent="0.2">
      <c r="A217" s="2"/>
      <c r="B217" s="235"/>
      <c r="C217" s="235"/>
      <c r="D217" s="235"/>
      <c r="I217" s="235"/>
      <c r="J217" s="235"/>
      <c r="K217" s="235"/>
    </row>
    <row r="218" spans="1:11" x14ac:dyDescent="0.2">
      <c r="A218" s="2"/>
      <c r="B218" s="235"/>
      <c r="C218" s="235"/>
      <c r="D218" s="235"/>
      <c r="I218" s="235"/>
      <c r="J218" s="235"/>
      <c r="K218" s="235"/>
    </row>
    <row r="219" spans="1:11" x14ac:dyDescent="0.2">
      <c r="A219" s="2"/>
      <c r="B219" s="235"/>
      <c r="C219" s="235"/>
      <c r="D219" s="235"/>
      <c r="I219" s="235"/>
      <c r="J219" s="235"/>
      <c r="K219" s="235"/>
    </row>
    <row r="220" spans="1:11" x14ac:dyDescent="0.2">
      <c r="A220" s="2"/>
      <c r="B220" s="235"/>
      <c r="C220" s="235"/>
      <c r="D220" s="235"/>
      <c r="I220" s="235"/>
      <c r="J220" s="235"/>
      <c r="K220" s="235"/>
    </row>
    <row r="221" spans="1:11" x14ac:dyDescent="0.2">
      <c r="A221" s="2"/>
      <c r="B221" s="235"/>
      <c r="C221" s="235"/>
      <c r="D221" s="235"/>
      <c r="I221" s="235"/>
      <c r="J221" s="235"/>
      <c r="K221" s="235"/>
    </row>
    <row r="222" spans="1:11" x14ac:dyDescent="0.2">
      <c r="A222" s="2"/>
      <c r="B222" s="235"/>
      <c r="C222" s="235"/>
      <c r="D222" s="235"/>
      <c r="I222" s="235"/>
      <c r="J222" s="235"/>
      <c r="K222" s="235"/>
    </row>
    <row r="223" spans="1:11" x14ac:dyDescent="0.2">
      <c r="A223" s="2"/>
      <c r="B223" s="235"/>
      <c r="C223" s="235"/>
      <c r="D223" s="235"/>
      <c r="I223" s="235"/>
      <c r="J223" s="235"/>
      <c r="K223" s="235"/>
    </row>
    <row r="224" spans="1:11" x14ac:dyDescent="0.2">
      <c r="A224" s="2"/>
      <c r="B224" s="235"/>
      <c r="C224" s="235"/>
      <c r="D224" s="235"/>
      <c r="I224" s="235"/>
      <c r="J224" s="235"/>
      <c r="K224" s="235"/>
    </row>
    <row r="225" spans="1:11" x14ac:dyDescent="0.2">
      <c r="A225" s="2"/>
      <c r="B225" s="235"/>
      <c r="C225" s="235"/>
      <c r="D225" s="235"/>
      <c r="I225" s="235"/>
      <c r="J225" s="235"/>
      <c r="K225" s="235"/>
    </row>
    <row r="226" spans="1:11" x14ac:dyDescent="0.2">
      <c r="A226" s="2"/>
      <c r="B226" s="235"/>
      <c r="C226" s="235"/>
      <c r="D226" s="235"/>
      <c r="I226" s="235"/>
      <c r="J226" s="235"/>
      <c r="K226" s="235"/>
    </row>
    <row r="227" spans="1:11" x14ac:dyDescent="0.2">
      <c r="A227" s="2"/>
      <c r="B227" s="235"/>
      <c r="C227" s="235"/>
      <c r="D227" s="235"/>
      <c r="I227" s="235"/>
      <c r="J227" s="235"/>
      <c r="K227" s="235"/>
    </row>
    <row r="228" spans="1:11" x14ac:dyDescent="0.2">
      <c r="A228" s="2"/>
      <c r="B228" s="235"/>
      <c r="C228" s="235"/>
      <c r="D228" s="235"/>
      <c r="I228" s="235"/>
      <c r="J228" s="235"/>
      <c r="K228" s="235"/>
    </row>
    <row r="229" spans="1:11" x14ac:dyDescent="0.2">
      <c r="A229" s="2"/>
      <c r="B229" s="235"/>
      <c r="C229" s="235"/>
      <c r="D229" s="235"/>
      <c r="I229" s="235"/>
      <c r="J229" s="235"/>
      <c r="K229" s="235"/>
    </row>
    <row r="230" spans="1:11" x14ac:dyDescent="0.2">
      <c r="A230" s="2"/>
      <c r="B230" s="235"/>
      <c r="C230" s="235"/>
      <c r="D230" s="235"/>
      <c r="I230" s="235"/>
      <c r="J230" s="235"/>
      <c r="K230" s="235"/>
    </row>
    <row r="231" spans="1:11" x14ac:dyDescent="0.2">
      <c r="A231" s="2"/>
      <c r="B231" s="235"/>
      <c r="C231" s="235"/>
      <c r="D231" s="235"/>
      <c r="I231" s="235"/>
      <c r="J231" s="235"/>
      <c r="K231" s="235"/>
    </row>
    <row r="232" spans="1:11" x14ac:dyDescent="0.2">
      <c r="A232" s="2"/>
      <c r="B232" s="235"/>
      <c r="C232" s="235"/>
      <c r="D232" s="235"/>
      <c r="I232" s="235"/>
      <c r="J232" s="235"/>
      <c r="K232" s="235"/>
    </row>
    <row r="233" spans="1:11" x14ac:dyDescent="0.2">
      <c r="A233" s="2"/>
      <c r="B233" s="235"/>
      <c r="C233" s="235"/>
      <c r="D233" s="235"/>
      <c r="I233" s="235"/>
      <c r="J233" s="235"/>
      <c r="K233" s="235"/>
    </row>
    <row r="234" spans="1:11" x14ac:dyDescent="0.2">
      <c r="A234" s="2"/>
      <c r="B234" s="235"/>
      <c r="C234" s="235"/>
      <c r="D234" s="235"/>
      <c r="I234" s="235"/>
      <c r="J234" s="235"/>
      <c r="K234" s="235"/>
    </row>
    <row r="235" spans="1:11" x14ac:dyDescent="0.2">
      <c r="A235" s="2"/>
      <c r="B235" s="235"/>
      <c r="C235" s="235"/>
      <c r="D235" s="235"/>
      <c r="I235" s="235"/>
      <c r="J235" s="235"/>
      <c r="K235" s="235"/>
    </row>
    <row r="236" spans="1:11" x14ac:dyDescent="0.2">
      <c r="A236" s="2"/>
      <c r="B236" s="235"/>
      <c r="C236" s="235"/>
      <c r="D236" s="235"/>
      <c r="I236" s="235"/>
      <c r="J236" s="235"/>
      <c r="K236" s="235"/>
    </row>
    <row r="237" spans="1:11" x14ac:dyDescent="0.2">
      <c r="A237" s="2"/>
      <c r="B237" s="235"/>
      <c r="C237" s="235"/>
      <c r="D237" s="235"/>
      <c r="I237" s="235"/>
      <c r="J237" s="235"/>
      <c r="K237" s="235"/>
    </row>
    <row r="238" spans="1:11" x14ac:dyDescent="0.2">
      <c r="A238" s="2"/>
      <c r="B238" s="235"/>
      <c r="C238" s="235"/>
      <c r="D238" s="235"/>
      <c r="I238" s="235"/>
      <c r="J238" s="235"/>
      <c r="K238" s="235"/>
    </row>
    <row r="239" spans="1:11" x14ac:dyDescent="0.2">
      <c r="A239" s="2"/>
      <c r="B239" s="235"/>
      <c r="C239" s="235"/>
      <c r="D239" s="235"/>
      <c r="I239" s="235"/>
      <c r="J239" s="235"/>
      <c r="K239" s="235"/>
    </row>
    <row r="240" spans="1:11" x14ac:dyDescent="0.2">
      <c r="A240" s="2"/>
      <c r="B240" s="235"/>
      <c r="C240" s="235"/>
      <c r="D240" s="235"/>
      <c r="I240" s="235"/>
      <c r="J240" s="235"/>
      <c r="K240" s="235"/>
    </row>
    <row r="241" spans="1:11" x14ac:dyDescent="0.2">
      <c r="A241" s="2"/>
      <c r="B241" s="235"/>
      <c r="C241" s="235"/>
      <c r="D241" s="235"/>
      <c r="I241" s="235"/>
      <c r="J241" s="235"/>
      <c r="K241" s="235"/>
    </row>
    <row r="242" spans="1:11" x14ac:dyDescent="0.2">
      <c r="A242" s="2"/>
      <c r="B242" s="235"/>
      <c r="C242" s="235"/>
      <c r="D242" s="235"/>
      <c r="I242" s="235"/>
      <c r="J242" s="235"/>
      <c r="K242" s="235"/>
    </row>
    <row r="243" spans="1:11" x14ac:dyDescent="0.2">
      <c r="A243" s="2"/>
      <c r="B243" s="235"/>
      <c r="C243" s="235"/>
      <c r="D243" s="235"/>
      <c r="I243" s="235"/>
      <c r="J243" s="235"/>
      <c r="K243" s="235"/>
    </row>
    <row r="244" spans="1:11" x14ac:dyDescent="0.2">
      <c r="A244" s="2"/>
      <c r="B244" s="235"/>
      <c r="C244" s="235"/>
      <c r="D244" s="235"/>
      <c r="I244" s="235"/>
      <c r="J244" s="235"/>
      <c r="K244" s="235"/>
    </row>
    <row r="245" spans="1:11" x14ac:dyDescent="0.2">
      <c r="A245" s="2"/>
      <c r="B245" s="235"/>
      <c r="C245" s="235"/>
      <c r="D245" s="235"/>
      <c r="I245" s="235"/>
      <c r="J245" s="235"/>
      <c r="K245" s="235"/>
    </row>
    <row r="246" spans="1:11" x14ac:dyDescent="0.2">
      <c r="A246" s="2"/>
      <c r="B246" s="235"/>
      <c r="C246" s="235"/>
      <c r="D246" s="235"/>
      <c r="I246" s="235"/>
      <c r="J246" s="235"/>
      <c r="K246" s="235"/>
    </row>
    <row r="247" spans="1:11" x14ac:dyDescent="0.2">
      <c r="A247" s="2"/>
      <c r="B247" s="235"/>
      <c r="C247" s="235"/>
      <c r="D247" s="235"/>
      <c r="I247" s="235"/>
      <c r="J247" s="235"/>
      <c r="K247" s="235"/>
    </row>
    <row r="248" spans="1:11" x14ac:dyDescent="0.2">
      <c r="A248" s="2"/>
      <c r="B248" s="235"/>
      <c r="C248" s="235"/>
      <c r="D248" s="235"/>
      <c r="I248" s="235"/>
      <c r="J248" s="235"/>
      <c r="K248" s="235"/>
    </row>
    <row r="249" spans="1:11" x14ac:dyDescent="0.2">
      <c r="A249" s="2"/>
      <c r="B249" s="235"/>
      <c r="C249" s="235"/>
      <c r="D249" s="235"/>
      <c r="I249" s="235"/>
      <c r="J249" s="235"/>
      <c r="K249" s="235"/>
    </row>
    <row r="250" spans="1:11" x14ac:dyDescent="0.2">
      <c r="A250" s="2"/>
      <c r="B250" s="235"/>
      <c r="C250" s="235"/>
      <c r="D250" s="235"/>
      <c r="I250" s="235"/>
      <c r="J250" s="235"/>
      <c r="K250" s="235"/>
    </row>
    <row r="251" spans="1:11" x14ac:dyDescent="0.2">
      <c r="A251" s="2"/>
      <c r="B251" s="235"/>
      <c r="C251" s="235"/>
      <c r="D251" s="235"/>
      <c r="I251" s="235"/>
      <c r="J251" s="235"/>
      <c r="K251" s="235"/>
    </row>
    <row r="252" spans="1:11" x14ac:dyDescent="0.2">
      <c r="A252" s="2"/>
      <c r="B252" s="235"/>
      <c r="C252" s="235"/>
      <c r="D252" s="235"/>
      <c r="I252" s="235"/>
      <c r="J252" s="235"/>
      <c r="K252" s="235"/>
    </row>
    <row r="253" spans="1:11" x14ac:dyDescent="0.2">
      <c r="A253" s="2"/>
      <c r="B253" s="235"/>
      <c r="C253" s="235"/>
      <c r="D253" s="235"/>
      <c r="I253" s="235"/>
      <c r="J253" s="235"/>
      <c r="K253" s="235"/>
    </row>
    <row r="254" spans="1:11" x14ac:dyDescent="0.2">
      <c r="A254" s="2"/>
      <c r="B254" s="235"/>
      <c r="C254" s="235"/>
      <c r="D254" s="235"/>
      <c r="I254" s="235"/>
      <c r="J254" s="235"/>
      <c r="K254" s="235"/>
    </row>
    <row r="255" spans="1:11" x14ac:dyDescent="0.2">
      <c r="A255" s="2"/>
      <c r="B255" s="235"/>
      <c r="C255" s="235"/>
      <c r="D255" s="235"/>
      <c r="I255" s="235"/>
      <c r="J255" s="235"/>
      <c r="K255" s="235"/>
    </row>
    <row r="256" spans="1:11" x14ac:dyDescent="0.2">
      <c r="A256" s="2"/>
      <c r="B256" s="235"/>
      <c r="C256" s="235"/>
      <c r="D256" s="235"/>
      <c r="I256" s="235"/>
      <c r="J256" s="235"/>
      <c r="K256" s="235"/>
    </row>
    <row r="257" spans="1:11" x14ac:dyDescent="0.2">
      <c r="A257" s="2"/>
      <c r="B257" s="235"/>
      <c r="C257" s="235"/>
      <c r="D257" s="235"/>
      <c r="I257" s="235"/>
      <c r="J257" s="235"/>
      <c r="K257" s="235"/>
    </row>
    <row r="258" spans="1:11" x14ac:dyDescent="0.2">
      <c r="A258" s="2"/>
      <c r="B258" s="235"/>
      <c r="C258" s="235"/>
      <c r="D258" s="235"/>
      <c r="I258" s="235"/>
      <c r="J258" s="235"/>
      <c r="K258" s="235"/>
    </row>
    <row r="259" spans="1:11" x14ac:dyDescent="0.2">
      <c r="A259" s="2"/>
      <c r="B259" s="235"/>
      <c r="C259" s="235"/>
      <c r="D259" s="235"/>
      <c r="I259" s="235"/>
      <c r="J259" s="235"/>
      <c r="K259" s="235"/>
    </row>
    <row r="260" spans="1:11" x14ac:dyDescent="0.2">
      <c r="A260" s="2"/>
      <c r="B260" s="235"/>
      <c r="C260" s="235"/>
      <c r="D260" s="235"/>
      <c r="I260" s="235"/>
      <c r="J260" s="235"/>
      <c r="K260" s="235"/>
    </row>
    <row r="261" spans="1:11" x14ac:dyDescent="0.2">
      <c r="A261" s="2"/>
      <c r="B261" s="235"/>
      <c r="C261" s="235"/>
      <c r="D261" s="235"/>
      <c r="I261" s="235"/>
      <c r="J261" s="235"/>
      <c r="K261" s="235"/>
    </row>
    <row r="262" spans="1:11" x14ac:dyDescent="0.2">
      <c r="A262" s="2"/>
      <c r="B262" s="235"/>
      <c r="C262" s="235"/>
      <c r="D262" s="235"/>
      <c r="I262" s="235"/>
      <c r="J262" s="235"/>
      <c r="K262" s="235"/>
    </row>
    <row r="263" spans="1:11" x14ac:dyDescent="0.2">
      <c r="A263" s="2"/>
      <c r="B263" s="235"/>
      <c r="C263" s="235"/>
      <c r="D263" s="235"/>
      <c r="I263" s="235"/>
      <c r="J263" s="235"/>
      <c r="K263" s="235"/>
    </row>
    <row r="264" spans="1:11" x14ac:dyDescent="0.2">
      <c r="A264" s="2"/>
      <c r="B264" s="235"/>
      <c r="C264" s="235"/>
      <c r="D264" s="235"/>
      <c r="I264" s="235"/>
      <c r="J264" s="235"/>
      <c r="K264" s="235"/>
    </row>
    <row r="265" spans="1:11" x14ac:dyDescent="0.2">
      <c r="A265" s="2"/>
      <c r="B265" s="235"/>
      <c r="C265" s="235"/>
      <c r="D265" s="235"/>
      <c r="I265" s="235"/>
      <c r="J265" s="235"/>
      <c r="K265" s="235"/>
    </row>
    <row r="266" spans="1:11" x14ac:dyDescent="0.2">
      <c r="A266" s="2"/>
      <c r="B266" s="235"/>
      <c r="C266" s="235"/>
      <c r="D266" s="235"/>
      <c r="I266" s="235"/>
      <c r="J266" s="235"/>
      <c r="K266" s="235"/>
    </row>
    <row r="267" spans="1:11" x14ac:dyDescent="0.2">
      <c r="A267" s="2"/>
      <c r="B267" s="235"/>
      <c r="C267" s="235"/>
      <c r="D267" s="235"/>
      <c r="I267" s="235"/>
      <c r="J267" s="235"/>
      <c r="K267" s="235"/>
    </row>
    <row r="268" spans="1:11" x14ac:dyDescent="0.2">
      <c r="A268" s="2"/>
      <c r="B268" s="235"/>
      <c r="C268" s="235"/>
      <c r="D268" s="235"/>
      <c r="I268" s="235"/>
      <c r="J268" s="235"/>
      <c r="K268" s="235"/>
    </row>
    <row r="269" spans="1:11" x14ac:dyDescent="0.2">
      <c r="A269" s="2"/>
      <c r="B269" s="235"/>
      <c r="C269" s="235"/>
      <c r="D269" s="235"/>
      <c r="I269" s="235"/>
      <c r="J269" s="235"/>
      <c r="K269" s="235"/>
    </row>
    <row r="270" spans="1:11" x14ac:dyDescent="0.2">
      <c r="A270" s="2"/>
      <c r="B270" s="235"/>
      <c r="C270" s="235"/>
      <c r="D270" s="235"/>
      <c r="I270" s="235"/>
      <c r="J270" s="235"/>
      <c r="K270" s="235"/>
    </row>
    <row r="271" spans="1:11" x14ac:dyDescent="0.2">
      <c r="A271" s="2"/>
      <c r="B271" s="235"/>
      <c r="C271" s="235"/>
      <c r="D271" s="235"/>
      <c r="I271" s="235"/>
      <c r="J271" s="235"/>
      <c r="K271" s="235"/>
    </row>
    <row r="272" spans="1:11" x14ac:dyDescent="0.2">
      <c r="A272" s="2"/>
      <c r="B272" s="235"/>
      <c r="C272" s="235"/>
      <c r="D272" s="235"/>
      <c r="I272" s="235"/>
      <c r="J272" s="235"/>
      <c r="K272" s="235"/>
    </row>
    <row r="273" spans="1:11" x14ac:dyDescent="0.2">
      <c r="A273" s="2"/>
      <c r="B273" s="235"/>
      <c r="C273" s="235"/>
      <c r="D273" s="235"/>
      <c r="I273" s="235"/>
      <c r="J273" s="235"/>
      <c r="K273" s="235"/>
    </row>
    <row r="274" spans="1:11" x14ac:dyDescent="0.2">
      <c r="A274" s="2"/>
      <c r="B274" s="235"/>
      <c r="C274" s="235"/>
      <c r="D274" s="235"/>
      <c r="I274" s="235"/>
      <c r="J274" s="235"/>
      <c r="K274" s="235"/>
    </row>
    <row r="275" spans="1:11" x14ac:dyDescent="0.2">
      <c r="A275" s="2"/>
      <c r="B275" s="235"/>
      <c r="C275" s="235"/>
      <c r="D275" s="235"/>
      <c r="I275" s="235"/>
      <c r="J275" s="235"/>
      <c r="K275" s="235"/>
    </row>
    <row r="276" spans="1:11" x14ac:dyDescent="0.2">
      <c r="A276" s="2"/>
      <c r="B276" s="235"/>
      <c r="C276" s="235"/>
      <c r="D276" s="235"/>
      <c r="I276" s="235"/>
      <c r="J276" s="235"/>
      <c r="K276" s="235"/>
    </row>
    <row r="277" spans="1:11" x14ac:dyDescent="0.2">
      <c r="A277" s="2"/>
      <c r="B277" s="235"/>
      <c r="C277" s="235"/>
      <c r="D277" s="235"/>
      <c r="I277" s="235"/>
      <c r="J277" s="235"/>
      <c r="K277" s="235"/>
    </row>
    <row r="278" spans="1:11" x14ac:dyDescent="0.2">
      <c r="A278" s="2"/>
      <c r="B278" s="235"/>
      <c r="C278" s="235"/>
      <c r="D278" s="235"/>
      <c r="I278" s="235"/>
      <c r="J278" s="235"/>
      <c r="K278" s="235"/>
    </row>
    <row r="279" spans="1:11" x14ac:dyDescent="0.2">
      <c r="A279" s="2"/>
      <c r="B279" s="235"/>
      <c r="C279" s="235"/>
      <c r="D279" s="235"/>
      <c r="I279" s="235"/>
      <c r="J279" s="235"/>
      <c r="K279" s="235"/>
    </row>
    <row r="280" spans="1:11" x14ac:dyDescent="0.2">
      <c r="A280" s="2"/>
      <c r="B280" s="235"/>
      <c r="C280" s="235"/>
      <c r="D280" s="235"/>
      <c r="I280" s="235"/>
      <c r="J280" s="235"/>
      <c r="K280" s="235"/>
    </row>
    <row r="281" spans="1:11" x14ac:dyDescent="0.2">
      <c r="A281" s="2"/>
      <c r="B281" s="235"/>
      <c r="C281" s="235"/>
      <c r="D281" s="235"/>
      <c r="I281" s="235"/>
      <c r="J281" s="235"/>
      <c r="K281" s="235"/>
    </row>
    <row r="282" spans="1:11" x14ac:dyDescent="0.2">
      <c r="A282" s="2"/>
      <c r="B282" s="235"/>
      <c r="C282" s="235"/>
      <c r="D282" s="235"/>
      <c r="I282" s="235"/>
      <c r="J282" s="235"/>
      <c r="K282" s="235"/>
    </row>
    <row r="283" spans="1:11" x14ac:dyDescent="0.2">
      <c r="A283" s="2"/>
      <c r="B283" s="235"/>
      <c r="C283" s="235"/>
      <c r="D283" s="235"/>
      <c r="I283" s="235"/>
      <c r="J283" s="235"/>
      <c r="K283" s="235"/>
    </row>
    <row r="284" spans="1:11" x14ac:dyDescent="0.2">
      <c r="A284" s="2"/>
      <c r="B284" s="235"/>
      <c r="C284" s="235"/>
      <c r="D284" s="235"/>
      <c r="I284" s="235"/>
      <c r="J284" s="235"/>
      <c r="K284" s="235"/>
    </row>
    <row r="285" spans="1:11" x14ac:dyDescent="0.2">
      <c r="A285" s="2"/>
      <c r="B285" s="235"/>
      <c r="C285" s="235"/>
      <c r="D285" s="235"/>
      <c r="I285" s="235"/>
      <c r="J285" s="235"/>
      <c r="K285" s="235"/>
    </row>
    <row r="286" spans="1:11" x14ac:dyDescent="0.2">
      <c r="A286" s="2"/>
      <c r="B286" s="235"/>
      <c r="C286" s="235"/>
      <c r="D286" s="235"/>
      <c r="I286" s="235"/>
      <c r="J286" s="235"/>
      <c r="K286" s="235"/>
    </row>
    <row r="287" spans="1:11" x14ac:dyDescent="0.2">
      <c r="A287" s="2"/>
      <c r="B287" s="235"/>
      <c r="C287" s="235"/>
      <c r="D287" s="235"/>
      <c r="I287" s="235"/>
      <c r="J287" s="235"/>
      <c r="K287" s="235"/>
    </row>
    <row r="288" spans="1:11" x14ac:dyDescent="0.2">
      <c r="A288" s="2"/>
      <c r="B288" s="235"/>
      <c r="C288" s="235"/>
      <c r="D288" s="235"/>
      <c r="I288" s="235"/>
      <c r="J288" s="235"/>
      <c r="K288" s="235"/>
    </row>
    <row r="289" spans="1:11" x14ac:dyDescent="0.2">
      <c r="A289" s="2"/>
      <c r="B289" s="235"/>
      <c r="C289" s="235"/>
      <c r="D289" s="235"/>
      <c r="I289" s="235"/>
      <c r="J289" s="235"/>
      <c r="K289" s="235"/>
    </row>
    <row r="290" spans="1:11" x14ac:dyDescent="0.2">
      <c r="A290" s="2"/>
      <c r="B290" s="235"/>
      <c r="C290" s="235"/>
      <c r="D290" s="235"/>
      <c r="I290" s="235"/>
      <c r="J290" s="235"/>
      <c r="K290" s="235"/>
    </row>
    <row r="291" spans="1:11" x14ac:dyDescent="0.2">
      <c r="A291" s="2"/>
      <c r="B291" s="235"/>
      <c r="C291" s="235"/>
      <c r="D291" s="235"/>
      <c r="I291" s="235"/>
      <c r="J291" s="235"/>
      <c r="K291" s="235"/>
    </row>
    <row r="292" spans="1:11" x14ac:dyDescent="0.2">
      <c r="A292" s="2"/>
      <c r="B292" s="235"/>
      <c r="C292" s="235"/>
      <c r="D292" s="235"/>
      <c r="I292" s="235"/>
      <c r="J292" s="235"/>
      <c r="K292" s="235"/>
    </row>
    <row r="293" spans="1:11" x14ac:dyDescent="0.2">
      <c r="A293" s="2"/>
      <c r="B293" s="235"/>
      <c r="C293" s="235"/>
      <c r="D293" s="235"/>
      <c r="I293" s="235"/>
      <c r="J293" s="235"/>
      <c r="K293" s="235"/>
    </row>
    <row r="294" spans="1:11" x14ac:dyDescent="0.2">
      <c r="A294" s="2"/>
      <c r="B294" s="235"/>
      <c r="C294" s="235"/>
      <c r="D294" s="235"/>
      <c r="I294" s="235"/>
      <c r="J294" s="235"/>
      <c r="K294" s="235"/>
    </row>
    <row r="295" spans="1:11" x14ac:dyDescent="0.2">
      <c r="A295" s="2"/>
      <c r="B295" s="235"/>
      <c r="C295" s="235"/>
      <c r="D295" s="235"/>
      <c r="I295" s="235"/>
      <c r="J295" s="235"/>
      <c r="K295" s="235"/>
    </row>
    <row r="296" spans="1:11" x14ac:dyDescent="0.2">
      <c r="A296" s="2"/>
      <c r="B296" s="235"/>
      <c r="C296" s="235"/>
      <c r="D296" s="235"/>
      <c r="I296" s="235"/>
      <c r="J296" s="235"/>
      <c r="K296" s="235"/>
    </row>
    <row r="297" spans="1:11" x14ac:dyDescent="0.2">
      <c r="A297" s="2"/>
      <c r="B297" s="235"/>
      <c r="C297" s="235"/>
      <c r="D297" s="235"/>
      <c r="I297" s="235"/>
      <c r="J297" s="235"/>
      <c r="K297" s="235"/>
    </row>
    <row r="298" spans="1:11" x14ac:dyDescent="0.2">
      <c r="A298" s="2"/>
      <c r="B298" s="235"/>
      <c r="C298" s="235"/>
      <c r="D298" s="235"/>
      <c r="I298" s="235"/>
      <c r="J298" s="235"/>
      <c r="K298" s="235"/>
    </row>
    <row r="299" spans="1:11" x14ac:dyDescent="0.2">
      <c r="A299" s="2"/>
      <c r="B299" s="235"/>
      <c r="C299" s="235"/>
      <c r="D299" s="235"/>
      <c r="I299" s="235"/>
      <c r="J299" s="235"/>
      <c r="K299" s="235"/>
    </row>
    <row r="300" spans="1:11" x14ac:dyDescent="0.2">
      <c r="A300" s="2"/>
      <c r="B300" s="235"/>
      <c r="C300" s="235"/>
      <c r="D300" s="235"/>
      <c r="I300" s="235"/>
      <c r="J300" s="235"/>
      <c r="K300" s="235"/>
    </row>
    <row r="301" spans="1:11" x14ac:dyDescent="0.2">
      <c r="A301" s="2"/>
      <c r="B301" s="235"/>
      <c r="C301" s="235"/>
      <c r="D301" s="235"/>
      <c r="I301" s="235"/>
      <c r="J301" s="235"/>
      <c r="K301" s="235"/>
    </row>
    <row r="302" spans="1:11" x14ac:dyDescent="0.2">
      <c r="A302" s="2"/>
      <c r="B302" s="235"/>
      <c r="C302" s="235"/>
      <c r="D302" s="235"/>
      <c r="I302" s="235"/>
      <c r="J302" s="235"/>
      <c r="K302" s="235"/>
    </row>
    <row r="303" spans="1:11" x14ac:dyDescent="0.2">
      <c r="A303" s="2"/>
      <c r="B303" s="235"/>
      <c r="C303" s="235"/>
      <c r="D303" s="235"/>
      <c r="I303" s="235"/>
      <c r="J303" s="235"/>
      <c r="K303" s="235"/>
    </row>
    <row r="304" spans="1:11" x14ac:dyDescent="0.2">
      <c r="A304" s="2"/>
      <c r="B304" s="235"/>
      <c r="C304" s="235"/>
      <c r="D304" s="235"/>
      <c r="I304" s="235"/>
      <c r="J304" s="235"/>
      <c r="K304" s="235"/>
    </row>
    <row r="305" spans="1:11" x14ac:dyDescent="0.2">
      <c r="A305" s="2"/>
      <c r="B305" s="235"/>
      <c r="C305" s="235"/>
      <c r="D305" s="235"/>
      <c r="I305" s="235"/>
      <c r="J305" s="235"/>
      <c r="K305" s="235"/>
    </row>
    <row r="306" spans="1:11" x14ac:dyDescent="0.2">
      <c r="A306" s="2"/>
      <c r="B306" s="235"/>
      <c r="C306" s="235"/>
      <c r="D306" s="235"/>
      <c r="I306" s="235"/>
      <c r="J306" s="235"/>
      <c r="K306" s="235"/>
    </row>
    <row r="307" spans="1:11" x14ac:dyDescent="0.2">
      <c r="A307" s="2"/>
      <c r="B307" s="235"/>
      <c r="C307" s="235"/>
      <c r="D307" s="235"/>
      <c r="I307" s="235"/>
      <c r="J307" s="235"/>
      <c r="K307" s="235"/>
    </row>
    <row r="308" spans="1:11" x14ac:dyDescent="0.2">
      <c r="A308" s="2"/>
      <c r="B308" s="235"/>
      <c r="C308" s="235"/>
      <c r="D308" s="235"/>
      <c r="I308" s="235"/>
      <c r="J308" s="235"/>
      <c r="K308" s="235"/>
    </row>
    <row r="309" spans="1:11" x14ac:dyDescent="0.2">
      <c r="A309" s="2"/>
      <c r="B309" s="235"/>
      <c r="C309" s="235"/>
      <c r="D309" s="235"/>
      <c r="I309" s="235"/>
      <c r="J309" s="235"/>
      <c r="K309" s="235"/>
    </row>
    <row r="310" spans="1:11" x14ac:dyDescent="0.2">
      <c r="A310" s="2"/>
      <c r="B310" s="235"/>
      <c r="C310" s="235"/>
      <c r="D310" s="235"/>
      <c r="I310" s="235"/>
      <c r="J310" s="235"/>
      <c r="K310" s="235"/>
    </row>
    <row r="311" spans="1:11" x14ac:dyDescent="0.2">
      <c r="A311" s="2"/>
      <c r="B311" s="235"/>
      <c r="C311" s="235"/>
      <c r="D311" s="235"/>
      <c r="I311" s="235"/>
      <c r="J311" s="235"/>
      <c r="K311" s="235"/>
    </row>
    <row r="312" spans="1:11" x14ac:dyDescent="0.2">
      <c r="A312" s="2"/>
      <c r="B312" s="235"/>
      <c r="C312" s="235"/>
      <c r="D312" s="235"/>
      <c r="I312" s="235"/>
      <c r="J312" s="235"/>
      <c r="K312" s="235"/>
    </row>
    <row r="313" spans="1:11" x14ac:dyDescent="0.2">
      <c r="A313" s="2"/>
      <c r="B313" s="235"/>
      <c r="C313" s="235"/>
      <c r="D313" s="235"/>
      <c r="I313" s="235"/>
      <c r="J313" s="235"/>
      <c r="K313" s="235"/>
    </row>
    <row r="314" spans="1:11" x14ac:dyDescent="0.2">
      <c r="A314" s="2"/>
      <c r="B314" s="235"/>
      <c r="C314" s="235"/>
      <c r="D314" s="235"/>
      <c r="I314" s="235"/>
      <c r="J314" s="235"/>
      <c r="K314" s="235"/>
    </row>
    <row r="315" spans="1:11" x14ac:dyDescent="0.2">
      <c r="A315" s="2"/>
      <c r="B315" s="235"/>
      <c r="C315" s="235"/>
      <c r="D315" s="235"/>
      <c r="I315" s="235"/>
      <c r="J315" s="235"/>
      <c r="K315" s="235"/>
    </row>
    <row r="316" spans="1:11" x14ac:dyDescent="0.2">
      <c r="A316" s="2"/>
      <c r="B316" s="235"/>
      <c r="C316" s="235"/>
      <c r="D316" s="235"/>
      <c r="I316" s="235"/>
      <c r="J316" s="235"/>
      <c r="K316" s="235"/>
    </row>
    <row r="317" spans="1:11" x14ac:dyDescent="0.2">
      <c r="A317" s="2"/>
      <c r="B317" s="235"/>
      <c r="C317" s="235"/>
      <c r="D317" s="235"/>
      <c r="I317" s="235"/>
      <c r="J317" s="235"/>
      <c r="K317" s="235"/>
    </row>
    <row r="318" spans="1:11" x14ac:dyDescent="0.2">
      <c r="A318" s="2"/>
      <c r="B318" s="235"/>
      <c r="C318" s="235"/>
      <c r="D318" s="235"/>
      <c r="I318" s="235"/>
      <c r="J318" s="235"/>
      <c r="K318" s="235"/>
    </row>
    <row r="319" spans="1:11" x14ac:dyDescent="0.2">
      <c r="A319" s="2"/>
      <c r="B319" s="235"/>
      <c r="C319" s="235"/>
      <c r="D319" s="235"/>
      <c r="I319" s="235"/>
      <c r="J319" s="235"/>
      <c r="K319" s="235"/>
    </row>
    <row r="320" spans="1:11" x14ac:dyDescent="0.2">
      <c r="A320" s="2"/>
      <c r="B320" s="235"/>
      <c r="C320" s="235"/>
      <c r="D320" s="235"/>
      <c r="I320" s="235"/>
      <c r="J320" s="235"/>
      <c r="K320" s="235"/>
    </row>
    <row r="321" spans="1:11" x14ac:dyDescent="0.2">
      <c r="A321" s="2"/>
      <c r="B321" s="235"/>
      <c r="C321" s="235"/>
      <c r="D321" s="235"/>
      <c r="I321" s="235"/>
      <c r="J321" s="235"/>
      <c r="K321" s="235"/>
    </row>
    <row r="322" spans="1:11" x14ac:dyDescent="0.2">
      <c r="A322" s="2"/>
      <c r="B322" s="235"/>
      <c r="C322" s="235"/>
      <c r="D322" s="235"/>
      <c r="I322" s="235"/>
      <c r="J322" s="235"/>
      <c r="K322" s="235"/>
    </row>
    <row r="323" spans="1:11" x14ac:dyDescent="0.2">
      <c r="A323" s="2"/>
      <c r="B323" s="235"/>
      <c r="C323" s="235"/>
      <c r="D323" s="235"/>
      <c r="I323" s="235"/>
      <c r="J323" s="235"/>
      <c r="K323" s="235"/>
    </row>
    <row r="324" spans="1:11" x14ac:dyDescent="0.2">
      <c r="A324" s="2"/>
      <c r="B324" s="235"/>
      <c r="C324" s="235"/>
      <c r="D324" s="235"/>
      <c r="I324" s="235"/>
      <c r="J324" s="235"/>
      <c r="K324" s="235"/>
    </row>
    <row r="325" spans="1:11" x14ac:dyDescent="0.2">
      <c r="A325" s="2"/>
      <c r="B325" s="235"/>
      <c r="C325" s="235"/>
      <c r="D325" s="235"/>
      <c r="I325" s="235"/>
      <c r="J325" s="235"/>
      <c r="K325" s="235"/>
    </row>
    <row r="326" spans="1:11" x14ac:dyDescent="0.2">
      <c r="A326" s="2"/>
      <c r="B326" s="235"/>
      <c r="C326" s="235"/>
      <c r="D326" s="235"/>
      <c r="I326" s="235"/>
      <c r="J326" s="235"/>
      <c r="K326" s="235"/>
    </row>
    <row r="327" spans="1:11" x14ac:dyDescent="0.2">
      <c r="A327" s="2"/>
      <c r="B327" s="235"/>
      <c r="C327" s="235"/>
      <c r="D327" s="235"/>
      <c r="I327" s="235"/>
      <c r="J327" s="235"/>
      <c r="K327" s="235"/>
    </row>
    <row r="328" spans="1:11" x14ac:dyDescent="0.2">
      <c r="A328" s="2"/>
      <c r="B328" s="235"/>
      <c r="C328" s="235"/>
      <c r="D328" s="235"/>
      <c r="I328" s="235"/>
      <c r="J328" s="235"/>
      <c r="K328" s="235"/>
    </row>
    <row r="329" spans="1:11" x14ac:dyDescent="0.2">
      <c r="A329" s="2"/>
      <c r="B329" s="235"/>
      <c r="C329" s="235"/>
      <c r="D329" s="235"/>
      <c r="I329" s="235"/>
      <c r="J329" s="235"/>
      <c r="K329" s="235"/>
    </row>
    <row r="330" spans="1:11" x14ac:dyDescent="0.2">
      <c r="A330" s="2"/>
      <c r="B330" s="235"/>
      <c r="C330" s="235"/>
      <c r="D330" s="235"/>
      <c r="I330" s="235"/>
      <c r="J330" s="235"/>
      <c r="K330" s="235"/>
    </row>
    <row r="331" spans="1:11" x14ac:dyDescent="0.2">
      <c r="A331" s="2"/>
      <c r="B331" s="235"/>
      <c r="C331" s="235"/>
      <c r="D331" s="235"/>
      <c r="I331" s="235"/>
      <c r="J331" s="235"/>
      <c r="K331" s="235"/>
    </row>
    <row r="332" spans="1:11" x14ac:dyDescent="0.2">
      <c r="A332" s="2"/>
      <c r="B332" s="235"/>
      <c r="C332" s="235"/>
      <c r="D332" s="235"/>
      <c r="I332" s="235"/>
      <c r="J332" s="235"/>
      <c r="K332" s="235"/>
    </row>
    <row r="333" spans="1:11" x14ac:dyDescent="0.2">
      <c r="A333" s="2"/>
      <c r="B333" s="235"/>
      <c r="C333" s="235"/>
      <c r="D333" s="235"/>
      <c r="I333" s="235"/>
      <c r="J333" s="235"/>
      <c r="K333" s="235"/>
    </row>
    <row r="334" spans="1:11" x14ac:dyDescent="0.2">
      <c r="A334" s="2"/>
      <c r="B334" s="235"/>
      <c r="C334" s="235"/>
      <c r="D334" s="235"/>
      <c r="I334" s="235"/>
      <c r="J334" s="235"/>
      <c r="K334" s="235"/>
    </row>
    <row r="335" spans="1:11" x14ac:dyDescent="0.2">
      <c r="A335" s="2"/>
      <c r="B335" s="235"/>
      <c r="C335" s="235"/>
      <c r="D335" s="235"/>
      <c r="I335" s="235"/>
      <c r="J335" s="235"/>
      <c r="K335" s="235"/>
    </row>
    <row r="336" spans="1:11" x14ac:dyDescent="0.2">
      <c r="A336" s="2"/>
      <c r="B336" s="235"/>
      <c r="C336" s="235"/>
      <c r="D336" s="235"/>
      <c r="I336" s="235"/>
      <c r="J336" s="235"/>
      <c r="K336" s="235"/>
    </row>
    <row r="337" spans="1:11" x14ac:dyDescent="0.2">
      <c r="A337" s="2"/>
      <c r="B337" s="235"/>
      <c r="C337" s="235"/>
      <c r="D337" s="235"/>
      <c r="I337" s="235"/>
      <c r="J337" s="235"/>
      <c r="K337" s="235"/>
    </row>
    <row r="338" spans="1:11" x14ac:dyDescent="0.2">
      <c r="A338" s="2"/>
      <c r="B338" s="235"/>
      <c r="C338" s="235"/>
      <c r="D338" s="235"/>
      <c r="I338" s="235"/>
      <c r="J338" s="235"/>
      <c r="K338" s="235"/>
    </row>
    <row r="339" spans="1:11" x14ac:dyDescent="0.2">
      <c r="A339" s="2"/>
      <c r="B339" s="235"/>
      <c r="C339" s="235"/>
      <c r="D339" s="235"/>
      <c r="I339" s="235"/>
      <c r="J339" s="235"/>
      <c r="K339" s="235"/>
    </row>
    <row r="340" spans="1:11" x14ac:dyDescent="0.2">
      <c r="A340" s="2"/>
      <c r="B340" s="235"/>
      <c r="C340" s="235"/>
      <c r="D340" s="235"/>
      <c r="I340" s="235"/>
      <c r="J340" s="235"/>
      <c r="K340" s="235"/>
    </row>
    <row r="341" spans="1:11" x14ac:dyDescent="0.2">
      <c r="A341" s="2"/>
      <c r="B341" s="235"/>
      <c r="C341" s="235"/>
      <c r="D341" s="235"/>
      <c r="I341" s="235"/>
      <c r="J341" s="235"/>
      <c r="K341" s="235"/>
    </row>
    <row r="342" spans="1:11" x14ac:dyDescent="0.2">
      <c r="A342" s="2"/>
      <c r="B342" s="235"/>
      <c r="C342" s="235"/>
      <c r="D342" s="235"/>
      <c r="I342" s="235"/>
      <c r="J342" s="235"/>
      <c r="K342" s="235"/>
    </row>
    <row r="343" spans="1:11" x14ac:dyDescent="0.2">
      <c r="A343" s="2"/>
      <c r="B343" s="235"/>
      <c r="C343" s="235"/>
      <c r="D343" s="235"/>
      <c r="I343" s="235"/>
      <c r="J343" s="235"/>
      <c r="K343" s="235"/>
    </row>
    <row r="344" spans="1:11" x14ac:dyDescent="0.2">
      <c r="A344" s="2"/>
      <c r="B344" s="235"/>
      <c r="C344" s="235"/>
      <c r="D344" s="235"/>
      <c r="I344" s="235"/>
      <c r="J344" s="235"/>
      <c r="K344" s="235"/>
    </row>
    <row r="345" spans="1:11" x14ac:dyDescent="0.2">
      <c r="A345" s="2"/>
      <c r="B345" s="235"/>
      <c r="C345" s="235"/>
      <c r="D345" s="235"/>
      <c r="I345" s="235"/>
      <c r="J345" s="235"/>
      <c r="K345" s="235"/>
    </row>
    <row r="346" spans="1:11" x14ac:dyDescent="0.2">
      <c r="A346" s="2"/>
      <c r="B346" s="235"/>
      <c r="C346" s="235"/>
      <c r="D346" s="235"/>
      <c r="I346" s="235"/>
      <c r="J346" s="235"/>
      <c r="K346" s="235"/>
    </row>
    <row r="347" spans="1:11" x14ac:dyDescent="0.2">
      <c r="A347" s="2"/>
      <c r="B347" s="235"/>
      <c r="C347" s="235"/>
      <c r="D347" s="235"/>
      <c r="I347" s="235"/>
      <c r="J347" s="235"/>
      <c r="K347" s="235"/>
    </row>
    <row r="348" spans="1:11" x14ac:dyDescent="0.2">
      <c r="A348" s="2"/>
      <c r="B348" s="235"/>
      <c r="C348" s="235"/>
      <c r="D348" s="235"/>
      <c r="I348" s="235"/>
      <c r="J348" s="235"/>
      <c r="K348" s="235"/>
    </row>
    <row r="349" spans="1:11" x14ac:dyDescent="0.2">
      <c r="A349" s="2"/>
      <c r="B349" s="235"/>
      <c r="C349" s="235"/>
      <c r="D349" s="235"/>
      <c r="I349" s="235"/>
      <c r="J349" s="235"/>
      <c r="K349" s="235"/>
    </row>
    <row r="350" spans="1:11" x14ac:dyDescent="0.2">
      <c r="A350" s="2"/>
      <c r="B350" s="235"/>
      <c r="C350" s="235"/>
      <c r="D350" s="235"/>
      <c r="I350" s="235"/>
      <c r="J350" s="235"/>
      <c r="K350" s="235"/>
    </row>
    <row r="351" spans="1:11" x14ac:dyDescent="0.2">
      <c r="A351" s="2"/>
      <c r="B351" s="235"/>
      <c r="C351" s="235"/>
      <c r="D351" s="235"/>
      <c r="I351" s="235"/>
      <c r="J351" s="235"/>
      <c r="K351" s="235"/>
    </row>
    <row r="352" spans="1:11" x14ac:dyDescent="0.2">
      <c r="A352" s="2"/>
      <c r="B352" s="235"/>
      <c r="C352" s="235"/>
      <c r="D352" s="235"/>
      <c r="I352" s="235"/>
      <c r="J352" s="235"/>
      <c r="K352" s="235"/>
    </row>
    <row r="353" spans="1:11" x14ac:dyDescent="0.2">
      <c r="A353" s="2"/>
      <c r="B353" s="235"/>
      <c r="C353" s="235"/>
      <c r="D353" s="235"/>
      <c r="I353" s="235"/>
      <c r="J353" s="235"/>
      <c r="K353" s="235"/>
    </row>
    <row r="354" spans="1:11" x14ac:dyDescent="0.2">
      <c r="A354" s="2"/>
      <c r="B354" s="235"/>
      <c r="C354" s="235"/>
      <c r="D354" s="235"/>
      <c r="I354" s="235"/>
      <c r="J354" s="235"/>
      <c r="K354" s="235"/>
    </row>
    <row r="355" spans="1:11" x14ac:dyDescent="0.2">
      <c r="A355" s="2"/>
      <c r="B355" s="235"/>
      <c r="C355" s="235"/>
      <c r="D355" s="235"/>
      <c r="I355" s="235"/>
      <c r="J355" s="235"/>
      <c r="K355" s="235"/>
    </row>
    <row r="356" spans="1:11" x14ac:dyDescent="0.2">
      <c r="A356" s="2"/>
      <c r="B356" s="235"/>
      <c r="C356" s="235"/>
      <c r="D356" s="235"/>
      <c r="I356" s="235"/>
      <c r="J356" s="235"/>
      <c r="K356" s="235"/>
    </row>
    <row r="357" spans="1:11" x14ac:dyDescent="0.2">
      <c r="A357" s="2"/>
      <c r="B357" s="235"/>
      <c r="C357" s="235"/>
      <c r="D357" s="235"/>
      <c r="I357" s="235"/>
      <c r="J357" s="235"/>
      <c r="K357" s="235"/>
    </row>
    <row r="358" spans="1:11" x14ac:dyDescent="0.2">
      <c r="A358" s="2"/>
      <c r="B358" s="235"/>
      <c r="C358" s="235"/>
      <c r="D358" s="235"/>
      <c r="I358" s="235"/>
      <c r="J358" s="235"/>
      <c r="K358" s="235"/>
    </row>
    <row r="359" spans="1:11" x14ac:dyDescent="0.2">
      <c r="A359" s="2"/>
      <c r="B359" s="235"/>
      <c r="C359" s="235"/>
      <c r="D359" s="235"/>
      <c r="I359" s="235"/>
      <c r="J359" s="235"/>
      <c r="K359" s="235"/>
    </row>
    <row r="360" spans="1:11" x14ac:dyDescent="0.2">
      <c r="A360" s="2"/>
      <c r="B360" s="235"/>
      <c r="C360" s="235"/>
      <c r="D360" s="235"/>
      <c r="I360" s="235"/>
      <c r="J360" s="235"/>
      <c r="K360" s="235"/>
    </row>
    <row r="361" spans="1:11" x14ac:dyDescent="0.2">
      <c r="A361" s="2"/>
      <c r="B361" s="235"/>
      <c r="C361" s="235"/>
      <c r="D361" s="235"/>
      <c r="I361" s="235"/>
      <c r="J361" s="235"/>
      <c r="K361" s="235"/>
    </row>
    <row r="362" spans="1:11" x14ac:dyDescent="0.2">
      <c r="A362" s="2"/>
      <c r="B362" s="235"/>
      <c r="C362" s="235"/>
      <c r="D362" s="235"/>
      <c r="I362" s="235"/>
      <c r="J362" s="235"/>
      <c r="K362" s="235"/>
    </row>
    <row r="363" spans="1:11" x14ac:dyDescent="0.2">
      <c r="A363" s="2"/>
      <c r="B363" s="235"/>
      <c r="C363" s="235"/>
      <c r="D363" s="235"/>
      <c r="I363" s="235"/>
      <c r="J363" s="235"/>
      <c r="K363" s="235"/>
    </row>
    <row r="364" spans="1:11" x14ac:dyDescent="0.2">
      <c r="A364" s="2"/>
      <c r="B364" s="235"/>
      <c r="C364" s="235"/>
      <c r="D364" s="235"/>
      <c r="I364" s="235"/>
      <c r="J364" s="235"/>
      <c r="K364" s="235"/>
    </row>
    <row r="365" spans="1:11" x14ac:dyDescent="0.2">
      <c r="A365" s="2"/>
      <c r="B365" s="235"/>
      <c r="C365" s="235"/>
      <c r="D365" s="235"/>
      <c r="I365" s="235"/>
      <c r="J365" s="235"/>
      <c r="K365" s="235"/>
    </row>
    <row r="366" spans="1:11" x14ac:dyDescent="0.2">
      <c r="A366" s="2"/>
      <c r="B366" s="235"/>
      <c r="C366" s="235"/>
      <c r="D366" s="235"/>
      <c r="I366" s="235"/>
      <c r="J366" s="235"/>
      <c r="K366" s="235"/>
    </row>
    <row r="367" spans="1:11" x14ac:dyDescent="0.2">
      <c r="A367" s="2"/>
      <c r="B367" s="235"/>
      <c r="C367" s="235"/>
      <c r="D367" s="235"/>
      <c r="I367" s="235"/>
      <c r="J367" s="235"/>
      <c r="K367" s="235"/>
    </row>
    <row r="368" spans="1:11" x14ac:dyDescent="0.2">
      <c r="A368" s="2"/>
      <c r="B368" s="235"/>
      <c r="C368" s="235"/>
      <c r="D368" s="235"/>
      <c r="I368" s="235"/>
      <c r="J368" s="235"/>
      <c r="K368" s="235"/>
    </row>
    <row r="369" spans="1:11" x14ac:dyDescent="0.2">
      <c r="A369" s="2"/>
      <c r="B369" s="235"/>
      <c r="C369" s="235"/>
      <c r="D369" s="235"/>
      <c r="I369" s="235"/>
      <c r="J369" s="235"/>
      <c r="K369" s="235"/>
    </row>
    <row r="370" spans="1:11" x14ac:dyDescent="0.2">
      <c r="A370" s="2"/>
      <c r="B370" s="235"/>
      <c r="C370" s="235"/>
      <c r="D370" s="235"/>
      <c r="I370" s="235"/>
      <c r="J370" s="235"/>
      <c r="K370" s="235"/>
    </row>
    <row r="371" spans="1:11" x14ac:dyDescent="0.2">
      <c r="A371" s="2"/>
      <c r="B371" s="235"/>
      <c r="C371" s="235"/>
      <c r="D371" s="235"/>
      <c r="I371" s="235"/>
      <c r="J371" s="235"/>
      <c r="K371" s="235"/>
    </row>
    <row r="372" spans="1:11" x14ac:dyDescent="0.2">
      <c r="A372" s="2"/>
      <c r="B372" s="235"/>
      <c r="C372" s="235"/>
      <c r="D372" s="235"/>
      <c r="I372" s="235"/>
      <c r="J372" s="235"/>
      <c r="K372" s="235"/>
    </row>
    <row r="373" spans="1:11" x14ac:dyDescent="0.2">
      <c r="A373" s="2"/>
      <c r="B373" s="235"/>
      <c r="C373" s="235"/>
      <c r="D373" s="235"/>
      <c r="I373" s="235"/>
      <c r="J373" s="235"/>
      <c r="K373" s="235"/>
    </row>
    <row r="374" spans="1:11" x14ac:dyDescent="0.2">
      <c r="A374" s="2"/>
      <c r="B374" s="235"/>
      <c r="C374" s="235"/>
      <c r="D374" s="235"/>
      <c r="I374" s="235"/>
      <c r="J374" s="235"/>
      <c r="K374" s="235"/>
    </row>
    <row r="375" spans="1:11" x14ac:dyDescent="0.2">
      <c r="A375" s="2"/>
      <c r="B375" s="235"/>
      <c r="C375" s="235"/>
      <c r="D375" s="235"/>
      <c r="I375" s="235"/>
      <c r="J375" s="235"/>
      <c r="K375" s="235"/>
    </row>
    <row r="376" spans="1:11" x14ac:dyDescent="0.2">
      <c r="A376" s="2"/>
      <c r="B376" s="235"/>
      <c r="C376" s="235"/>
      <c r="D376" s="235"/>
      <c r="I376" s="235"/>
      <c r="J376" s="235"/>
      <c r="K376" s="235"/>
    </row>
    <row r="377" spans="1:11" x14ac:dyDescent="0.2">
      <c r="A377" s="2"/>
      <c r="B377" s="235"/>
      <c r="C377" s="235"/>
      <c r="D377" s="235"/>
      <c r="I377" s="235"/>
      <c r="J377" s="235"/>
      <c r="K377" s="235"/>
    </row>
    <row r="378" spans="1:11" x14ac:dyDescent="0.2">
      <c r="A378" s="2"/>
      <c r="B378" s="235"/>
      <c r="C378" s="235"/>
      <c r="D378" s="235"/>
      <c r="I378" s="235"/>
      <c r="J378" s="235"/>
      <c r="K378" s="235"/>
    </row>
    <row r="379" spans="1:11" x14ac:dyDescent="0.2">
      <c r="A379" s="2"/>
      <c r="B379" s="235"/>
      <c r="C379" s="235"/>
      <c r="D379" s="235"/>
      <c r="I379" s="235"/>
      <c r="J379" s="235"/>
      <c r="K379" s="235"/>
    </row>
    <row r="380" spans="1:11" x14ac:dyDescent="0.2">
      <c r="A380" s="2"/>
      <c r="B380" s="235"/>
      <c r="C380" s="235"/>
      <c r="D380" s="235"/>
      <c r="I380" s="235"/>
      <c r="J380" s="235"/>
      <c r="K380" s="235"/>
    </row>
    <row r="381" spans="1:11" x14ac:dyDescent="0.2">
      <c r="A381" s="2"/>
      <c r="B381" s="235"/>
      <c r="C381" s="235"/>
      <c r="D381" s="235"/>
      <c r="I381" s="235"/>
      <c r="J381" s="235"/>
      <c r="K381" s="235"/>
    </row>
    <row r="382" spans="1:11" x14ac:dyDescent="0.2">
      <c r="A382" s="2"/>
      <c r="B382" s="235"/>
      <c r="C382" s="235"/>
      <c r="D382" s="235"/>
      <c r="I382" s="235"/>
      <c r="J382" s="235"/>
      <c r="K382" s="235"/>
    </row>
    <row r="383" spans="1:11" x14ac:dyDescent="0.2">
      <c r="A383" s="2"/>
      <c r="B383" s="235"/>
      <c r="C383" s="235"/>
      <c r="D383" s="235"/>
      <c r="I383" s="235"/>
      <c r="J383" s="235"/>
      <c r="K383" s="235"/>
    </row>
    <row r="384" spans="1:11" x14ac:dyDescent="0.2">
      <c r="A384" s="2"/>
      <c r="B384" s="235"/>
      <c r="C384" s="235"/>
      <c r="D384" s="235"/>
      <c r="I384" s="235"/>
      <c r="J384" s="235"/>
      <c r="K384" s="235"/>
    </row>
    <row r="385" spans="1:11" x14ac:dyDescent="0.2">
      <c r="A385" s="2"/>
      <c r="B385" s="235"/>
      <c r="C385" s="235"/>
      <c r="D385" s="235"/>
      <c r="I385" s="235"/>
      <c r="J385" s="235"/>
      <c r="K385" s="235"/>
    </row>
    <row r="386" spans="1:11" x14ac:dyDescent="0.2">
      <c r="A386" s="2"/>
      <c r="B386" s="235"/>
      <c r="C386" s="235"/>
      <c r="D386" s="235"/>
      <c r="I386" s="235"/>
      <c r="J386" s="235"/>
      <c r="K386" s="235"/>
    </row>
    <row r="387" spans="1:11" x14ac:dyDescent="0.2">
      <c r="A387" s="2"/>
      <c r="B387" s="235"/>
      <c r="C387" s="235"/>
      <c r="D387" s="235"/>
      <c r="I387" s="235"/>
      <c r="J387" s="235"/>
      <c r="K387" s="235"/>
    </row>
    <row r="388" spans="1:11" x14ac:dyDescent="0.2">
      <c r="A388" s="2"/>
      <c r="B388" s="235"/>
      <c r="C388" s="235"/>
      <c r="D388" s="235"/>
      <c r="I388" s="235"/>
      <c r="J388" s="235"/>
      <c r="K388" s="235"/>
    </row>
    <row r="389" spans="1:11" x14ac:dyDescent="0.2">
      <c r="A389" s="2"/>
      <c r="B389" s="235"/>
      <c r="C389" s="235"/>
      <c r="D389" s="235"/>
      <c r="I389" s="235"/>
      <c r="J389" s="235"/>
      <c r="K389" s="235"/>
    </row>
    <row r="390" spans="1:11" x14ac:dyDescent="0.2">
      <c r="A390" s="2"/>
      <c r="B390" s="235"/>
      <c r="C390" s="235"/>
      <c r="D390" s="235"/>
      <c r="I390" s="235"/>
      <c r="J390" s="235"/>
      <c r="K390" s="235"/>
    </row>
    <row r="391" spans="1:11" x14ac:dyDescent="0.2">
      <c r="A391" s="2"/>
      <c r="B391" s="235"/>
      <c r="C391" s="235"/>
      <c r="D391" s="235"/>
      <c r="I391" s="235"/>
      <c r="J391" s="235"/>
      <c r="K391" s="235"/>
    </row>
    <row r="392" spans="1:11" x14ac:dyDescent="0.2">
      <c r="A392" s="2"/>
      <c r="B392" s="235"/>
      <c r="C392" s="235"/>
      <c r="D392" s="235"/>
      <c r="I392" s="235"/>
      <c r="J392" s="235"/>
      <c r="K392" s="235"/>
    </row>
    <row r="393" spans="1:11" x14ac:dyDescent="0.2">
      <c r="A393" s="2"/>
      <c r="B393" s="235"/>
      <c r="C393" s="235"/>
      <c r="D393" s="235"/>
      <c r="I393" s="235"/>
      <c r="J393" s="235"/>
      <c r="K393" s="235"/>
    </row>
    <row r="394" spans="1:11" x14ac:dyDescent="0.2">
      <c r="A394" s="2"/>
      <c r="B394" s="235"/>
      <c r="C394" s="235"/>
      <c r="D394" s="235"/>
      <c r="I394" s="235"/>
      <c r="J394" s="235"/>
      <c r="K394" s="235"/>
    </row>
    <row r="395" spans="1:11" x14ac:dyDescent="0.2">
      <c r="A395" s="2"/>
      <c r="B395" s="235"/>
      <c r="C395" s="235"/>
      <c r="D395" s="235"/>
      <c r="I395" s="235"/>
      <c r="J395" s="235"/>
      <c r="K395" s="235"/>
    </row>
    <row r="396" spans="1:11" x14ac:dyDescent="0.2">
      <c r="A396" s="2"/>
      <c r="B396" s="235"/>
      <c r="C396" s="235"/>
      <c r="D396" s="235"/>
      <c r="I396" s="235"/>
      <c r="J396" s="235"/>
      <c r="K396" s="235"/>
    </row>
    <row r="397" spans="1:11" x14ac:dyDescent="0.2">
      <c r="A397" s="2"/>
      <c r="B397" s="235"/>
      <c r="C397" s="235"/>
      <c r="D397" s="235"/>
      <c r="I397" s="235"/>
      <c r="J397" s="235"/>
      <c r="K397" s="235"/>
    </row>
    <row r="398" spans="1:11" x14ac:dyDescent="0.2">
      <c r="A398" s="2"/>
      <c r="B398" s="235"/>
      <c r="C398" s="235"/>
      <c r="D398" s="235"/>
      <c r="I398" s="235"/>
      <c r="J398" s="235"/>
      <c r="K398" s="235"/>
    </row>
    <row r="399" spans="1:11" x14ac:dyDescent="0.2">
      <c r="A399" s="2"/>
      <c r="B399" s="235"/>
      <c r="C399" s="235"/>
      <c r="D399" s="235"/>
      <c r="I399" s="235"/>
      <c r="J399" s="235"/>
      <c r="K399" s="235"/>
    </row>
    <row r="400" spans="1:11" x14ac:dyDescent="0.2">
      <c r="A400" s="2"/>
      <c r="B400" s="235"/>
      <c r="C400" s="235"/>
      <c r="D400" s="235"/>
      <c r="I400" s="235"/>
      <c r="J400" s="235"/>
      <c r="K400" s="235"/>
    </row>
    <row r="401" spans="1:11" x14ac:dyDescent="0.2">
      <c r="A401" s="2"/>
      <c r="B401" s="235"/>
      <c r="C401" s="235"/>
      <c r="D401" s="235"/>
      <c r="I401" s="235"/>
      <c r="J401" s="235"/>
      <c r="K401" s="235"/>
    </row>
    <row r="402" spans="1:11" x14ac:dyDescent="0.2">
      <c r="A402" s="2"/>
      <c r="B402" s="235"/>
      <c r="C402" s="235"/>
      <c r="D402" s="235"/>
      <c r="I402" s="235"/>
      <c r="J402" s="235"/>
      <c r="K402" s="235"/>
    </row>
    <row r="403" spans="1:11" x14ac:dyDescent="0.2">
      <c r="A403" s="2"/>
      <c r="B403" s="235"/>
      <c r="C403" s="235"/>
      <c r="D403" s="235"/>
      <c r="I403" s="235"/>
      <c r="J403" s="235"/>
      <c r="K403" s="235"/>
    </row>
    <row r="404" spans="1:11" x14ac:dyDescent="0.2">
      <c r="A404" s="2"/>
      <c r="B404" s="235"/>
      <c r="C404" s="235"/>
      <c r="D404" s="235"/>
      <c r="I404" s="235"/>
      <c r="J404" s="235"/>
      <c r="K404" s="235"/>
    </row>
    <row r="405" spans="1:11" x14ac:dyDescent="0.2">
      <c r="A405" s="2"/>
      <c r="B405" s="235"/>
      <c r="C405" s="235"/>
      <c r="D405" s="235"/>
      <c r="I405" s="235"/>
      <c r="J405" s="235"/>
      <c r="K405" s="235"/>
    </row>
    <row r="406" spans="1:11" x14ac:dyDescent="0.2">
      <c r="A406" s="2"/>
      <c r="B406" s="235"/>
      <c r="C406" s="235"/>
      <c r="D406" s="235"/>
      <c r="I406" s="235"/>
      <c r="J406" s="235"/>
      <c r="K406" s="235"/>
    </row>
    <row r="407" spans="1:11" x14ac:dyDescent="0.2">
      <c r="A407" s="2"/>
      <c r="B407" s="235"/>
      <c r="C407" s="235"/>
      <c r="D407" s="235"/>
      <c r="I407" s="235"/>
      <c r="J407" s="235"/>
      <c r="K407" s="235"/>
    </row>
    <row r="408" spans="1:11" x14ac:dyDescent="0.2">
      <c r="A408" s="2"/>
      <c r="B408" s="235"/>
      <c r="C408" s="235"/>
      <c r="D408" s="235"/>
      <c r="I408" s="235"/>
      <c r="J408" s="235"/>
      <c r="K408" s="235"/>
    </row>
    <row r="409" spans="1:11" x14ac:dyDescent="0.2">
      <c r="A409" s="2"/>
      <c r="B409" s="235"/>
      <c r="C409" s="235"/>
      <c r="D409" s="235"/>
      <c r="I409" s="235"/>
      <c r="J409" s="235"/>
      <c r="K409" s="235"/>
    </row>
    <row r="410" spans="1:11" x14ac:dyDescent="0.2">
      <c r="A410" s="2"/>
      <c r="B410" s="235"/>
      <c r="C410" s="235"/>
      <c r="D410" s="235"/>
      <c r="I410" s="235"/>
      <c r="J410" s="235"/>
      <c r="K410" s="235"/>
    </row>
    <row r="411" spans="1:11" x14ac:dyDescent="0.2">
      <c r="A411" s="2"/>
      <c r="B411" s="235"/>
      <c r="C411" s="235"/>
      <c r="D411" s="235"/>
      <c r="I411" s="235"/>
      <c r="J411" s="235"/>
      <c r="K411" s="235"/>
    </row>
    <row r="412" spans="1:11" x14ac:dyDescent="0.2">
      <c r="A412" s="2"/>
      <c r="B412" s="235"/>
      <c r="C412" s="235"/>
      <c r="D412" s="235"/>
      <c r="I412" s="235"/>
      <c r="J412" s="235"/>
      <c r="K412" s="235"/>
    </row>
    <row r="413" spans="1:11" x14ac:dyDescent="0.2">
      <c r="A413" s="2"/>
      <c r="B413" s="235"/>
      <c r="C413" s="235"/>
      <c r="D413" s="235"/>
      <c r="I413" s="235"/>
      <c r="J413" s="235"/>
      <c r="K413" s="235"/>
    </row>
    <row r="414" spans="1:11" x14ac:dyDescent="0.2">
      <c r="A414" s="2"/>
      <c r="B414" s="235"/>
      <c r="C414" s="235"/>
      <c r="D414" s="235"/>
      <c r="I414" s="235"/>
      <c r="J414" s="235"/>
      <c r="K414" s="235"/>
    </row>
    <row r="415" spans="1:11" x14ac:dyDescent="0.2">
      <c r="A415" s="2"/>
      <c r="B415" s="235"/>
      <c r="C415" s="235"/>
      <c r="D415" s="235"/>
      <c r="I415" s="235"/>
      <c r="J415" s="235"/>
      <c r="K415" s="235"/>
    </row>
    <row r="416" spans="1:11" x14ac:dyDescent="0.2">
      <c r="A416" s="2"/>
      <c r="B416" s="235"/>
      <c r="C416" s="235"/>
      <c r="D416" s="235"/>
      <c r="I416" s="235"/>
      <c r="J416" s="235"/>
      <c r="K416" s="235"/>
    </row>
    <row r="417" spans="1:11" x14ac:dyDescent="0.2">
      <c r="A417" s="2"/>
      <c r="B417" s="235"/>
      <c r="C417" s="235"/>
      <c r="D417" s="235"/>
      <c r="I417" s="235"/>
      <c r="J417" s="235"/>
      <c r="K417" s="235"/>
    </row>
    <row r="418" spans="1:11" x14ac:dyDescent="0.2">
      <c r="A418" s="2"/>
      <c r="B418" s="235"/>
      <c r="C418" s="235"/>
      <c r="D418" s="235"/>
      <c r="I418" s="235"/>
      <c r="J418" s="235"/>
      <c r="K418" s="235"/>
    </row>
    <row r="419" spans="1:11" x14ac:dyDescent="0.2">
      <c r="A419" s="2"/>
      <c r="B419" s="235"/>
      <c r="C419" s="235"/>
      <c r="D419" s="235"/>
      <c r="I419" s="235"/>
      <c r="J419" s="235"/>
      <c r="K419" s="235"/>
    </row>
    <row r="420" spans="1:11" x14ac:dyDescent="0.2">
      <c r="A420" s="2"/>
      <c r="B420" s="235"/>
      <c r="C420" s="235"/>
      <c r="D420" s="235"/>
      <c r="I420" s="235"/>
      <c r="J420" s="235"/>
      <c r="K420" s="235"/>
    </row>
    <row r="421" spans="1:11" x14ac:dyDescent="0.2">
      <c r="A421" s="2"/>
      <c r="B421" s="235"/>
      <c r="C421" s="235"/>
      <c r="D421" s="235"/>
      <c r="I421" s="235"/>
      <c r="J421" s="235"/>
      <c r="K421" s="235"/>
    </row>
    <row r="422" spans="1:11" x14ac:dyDescent="0.2">
      <c r="A422" s="2"/>
      <c r="B422" s="235"/>
      <c r="C422" s="235"/>
      <c r="D422" s="235"/>
      <c r="I422" s="235"/>
      <c r="J422" s="235"/>
      <c r="K422" s="235"/>
    </row>
    <row r="423" spans="1:11" x14ac:dyDescent="0.2">
      <c r="A423" s="2"/>
      <c r="B423" s="235"/>
      <c r="C423" s="235"/>
      <c r="D423" s="235"/>
      <c r="I423" s="235"/>
      <c r="J423" s="235"/>
      <c r="K423" s="235"/>
    </row>
    <row r="424" spans="1:11" x14ac:dyDescent="0.2">
      <c r="A424" s="2"/>
      <c r="B424" s="235"/>
      <c r="C424" s="235"/>
      <c r="D424" s="235"/>
      <c r="I424" s="235"/>
      <c r="J424" s="235"/>
      <c r="K424" s="235"/>
    </row>
    <row r="425" spans="1:11" x14ac:dyDescent="0.2">
      <c r="A425" s="2"/>
      <c r="B425" s="235"/>
      <c r="C425" s="235"/>
      <c r="D425" s="235"/>
      <c r="I425" s="235"/>
      <c r="J425" s="235"/>
      <c r="K425" s="235"/>
    </row>
    <row r="426" spans="1:11" x14ac:dyDescent="0.2">
      <c r="A426" s="2"/>
      <c r="B426" s="235"/>
      <c r="C426" s="235"/>
      <c r="D426" s="235"/>
      <c r="I426" s="235"/>
      <c r="J426" s="235"/>
      <c r="K426" s="235"/>
    </row>
    <row r="427" spans="1:11" x14ac:dyDescent="0.2">
      <c r="A427" s="2"/>
      <c r="B427" s="235"/>
      <c r="C427" s="235"/>
      <c r="D427" s="235"/>
      <c r="I427" s="235"/>
      <c r="J427" s="235"/>
      <c r="K427" s="235"/>
    </row>
    <row r="428" spans="1:11" x14ac:dyDescent="0.2">
      <c r="A428" s="2"/>
      <c r="B428" s="235"/>
      <c r="C428" s="235"/>
      <c r="D428" s="235"/>
      <c r="I428" s="235"/>
      <c r="J428" s="235"/>
      <c r="K428" s="235"/>
    </row>
    <row r="429" spans="1:11" x14ac:dyDescent="0.2">
      <c r="A429" s="2"/>
      <c r="B429" s="235"/>
      <c r="C429" s="235"/>
      <c r="D429" s="235"/>
      <c r="I429" s="235"/>
      <c r="J429" s="235"/>
      <c r="K429" s="235"/>
    </row>
    <row r="430" spans="1:11" x14ac:dyDescent="0.2">
      <c r="A430" s="2"/>
      <c r="B430" s="235"/>
      <c r="C430" s="235"/>
      <c r="D430" s="235"/>
      <c r="I430" s="235"/>
      <c r="J430" s="235"/>
      <c r="K430" s="235"/>
    </row>
    <row r="431" spans="1:11" x14ac:dyDescent="0.2">
      <c r="A431" s="2"/>
      <c r="B431" s="235"/>
      <c r="C431" s="235"/>
      <c r="D431" s="235"/>
      <c r="I431" s="235"/>
      <c r="J431" s="235"/>
      <c r="K431" s="235"/>
    </row>
    <row r="432" spans="1:11" x14ac:dyDescent="0.2">
      <c r="A432" s="2"/>
      <c r="B432" s="235"/>
      <c r="C432" s="235"/>
      <c r="D432" s="235"/>
      <c r="I432" s="235"/>
      <c r="J432" s="235"/>
      <c r="K432" s="235"/>
    </row>
    <row r="433" spans="1:11" x14ac:dyDescent="0.2">
      <c r="A433" s="2"/>
      <c r="B433" s="235"/>
      <c r="C433" s="235"/>
      <c r="D433" s="235"/>
      <c r="I433" s="235"/>
      <c r="J433" s="235"/>
      <c r="K433" s="235"/>
    </row>
    <row r="434" spans="1:11" x14ac:dyDescent="0.2">
      <c r="A434" s="2"/>
      <c r="B434" s="235"/>
      <c r="C434" s="235"/>
      <c r="D434" s="235"/>
      <c r="I434" s="235"/>
      <c r="J434" s="235"/>
      <c r="K434" s="235"/>
    </row>
    <row r="435" spans="1:11" x14ac:dyDescent="0.2">
      <c r="A435" s="2"/>
      <c r="B435" s="235"/>
      <c r="C435" s="235"/>
      <c r="D435" s="235"/>
      <c r="I435" s="235"/>
      <c r="J435" s="235"/>
      <c r="K435" s="235"/>
    </row>
    <row r="436" spans="1:11" x14ac:dyDescent="0.2">
      <c r="A436" s="2"/>
      <c r="B436" s="235"/>
      <c r="C436" s="235"/>
      <c r="D436" s="235"/>
      <c r="I436" s="235"/>
      <c r="J436" s="235"/>
      <c r="K436" s="235"/>
    </row>
    <row r="437" spans="1:11" x14ac:dyDescent="0.2">
      <c r="A437" s="2"/>
      <c r="B437" s="235"/>
      <c r="C437" s="235"/>
      <c r="D437" s="235"/>
      <c r="I437" s="235"/>
      <c r="J437" s="235"/>
      <c r="K437" s="235"/>
    </row>
    <row r="438" spans="1:11" x14ac:dyDescent="0.2">
      <c r="A438" s="2"/>
      <c r="B438" s="235"/>
      <c r="C438" s="235"/>
      <c r="D438" s="235"/>
      <c r="I438" s="235"/>
      <c r="J438" s="235"/>
      <c r="K438" s="235"/>
    </row>
    <row r="439" spans="1:11" x14ac:dyDescent="0.2">
      <c r="A439" s="2"/>
      <c r="B439" s="235"/>
      <c r="C439" s="235"/>
      <c r="D439" s="235"/>
      <c r="I439" s="235"/>
      <c r="J439" s="235"/>
      <c r="K439" s="235"/>
    </row>
    <row r="440" spans="1:11" x14ac:dyDescent="0.2">
      <c r="A440" s="2"/>
      <c r="B440" s="235"/>
      <c r="C440" s="235"/>
      <c r="D440" s="235"/>
      <c r="I440" s="235"/>
      <c r="J440" s="235"/>
      <c r="K440" s="235"/>
    </row>
    <row r="441" spans="1:11" x14ac:dyDescent="0.2">
      <c r="A441" s="2"/>
      <c r="B441" s="235"/>
      <c r="C441" s="235"/>
      <c r="D441" s="235"/>
      <c r="I441" s="235"/>
      <c r="J441" s="235"/>
      <c r="K441" s="235"/>
    </row>
    <row r="442" spans="1:11" x14ac:dyDescent="0.2">
      <c r="A442" s="2"/>
      <c r="B442" s="235"/>
      <c r="C442" s="235"/>
      <c r="D442" s="235"/>
      <c r="I442" s="235"/>
      <c r="J442" s="235"/>
      <c r="K442" s="235"/>
    </row>
    <row r="443" spans="1:11" x14ac:dyDescent="0.2">
      <c r="A443" s="2"/>
      <c r="B443" s="235"/>
      <c r="C443" s="235"/>
      <c r="D443" s="235"/>
      <c r="I443" s="235"/>
      <c r="J443" s="235"/>
      <c r="K443" s="235"/>
    </row>
    <row r="444" spans="1:11" x14ac:dyDescent="0.2">
      <c r="A444" s="2"/>
      <c r="B444" s="235"/>
      <c r="C444" s="235"/>
      <c r="D444" s="235"/>
      <c r="I444" s="235"/>
      <c r="J444" s="235"/>
      <c r="K444" s="235"/>
    </row>
    <row r="445" spans="1:11" x14ac:dyDescent="0.2">
      <c r="A445" s="2"/>
      <c r="B445" s="235"/>
      <c r="C445" s="235"/>
      <c r="D445" s="235"/>
      <c r="I445" s="235"/>
      <c r="J445" s="235"/>
      <c r="K445" s="235"/>
    </row>
    <row r="446" spans="1:11" x14ac:dyDescent="0.2">
      <c r="A446" s="2"/>
      <c r="B446" s="235"/>
      <c r="C446" s="235"/>
      <c r="D446" s="235"/>
      <c r="I446" s="235"/>
      <c r="J446" s="235"/>
      <c r="K446" s="235"/>
    </row>
    <row r="447" spans="1:11" x14ac:dyDescent="0.2">
      <c r="A447" s="2"/>
      <c r="B447" s="235"/>
      <c r="C447" s="235"/>
      <c r="D447" s="235"/>
      <c r="I447" s="235"/>
      <c r="J447" s="235"/>
      <c r="K447" s="235"/>
    </row>
    <row r="448" spans="1:11" x14ac:dyDescent="0.2">
      <c r="A448" s="2"/>
      <c r="B448" s="235"/>
      <c r="C448" s="235"/>
      <c r="D448" s="235"/>
      <c r="I448" s="235"/>
      <c r="J448" s="235"/>
      <c r="K448" s="235"/>
    </row>
    <row r="449" spans="1:11" x14ac:dyDescent="0.2">
      <c r="A449" s="2"/>
      <c r="B449" s="235"/>
      <c r="C449" s="235"/>
      <c r="D449" s="235"/>
      <c r="I449" s="235"/>
      <c r="J449" s="235"/>
      <c r="K449" s="235"/>
    </row>
    <row r="450" spans="1:11" x14ac:dyDescent="0.2">
      <c r="A450" s="2"/>
      <c r="B450" s="235"/>
      <c r="C450" s="235"/>
      <c r="D450" s="235"/>
      <c r="I450" s="235"/>
      <c r="J450" s="235"/>
      <c r="K450" s="235"/>
    </row>
    <row r="451" spans="1:11" x14ac:dyDescent="0.2">
      <c r="A451" s="2"/>
      <c r="B451" s="235"/>
      <c r="C451" s="235"/>
      <c r="D451" s="235"/>
      <c r="I451" s="235"/>
      <c r="J451" s="235"/>
      <c r="K451" s="235"/>
    </row>
    <row r="452" spans="1:11" x14ac:dyDescent="0.2">
      <c r="A452" s="2"/>
      <c r="B452" s="235"/>
      <c r="C452" s="235"/>
      <c r="D452" s="235"/>
      <c r="I452" s="235"/>
      <c r="J452" s="235"/>
      <c r="K452" s="235"/>
    </row>
    <row r="453" spans="1:11" x14ac:dyDescent="0.2">
      <c r="A453" s="2"/>
      <c r="B453" s="235"/>
      <c r="C453" s="235"/>
      <c r="D453" s="235"/>
      <c r="I453" s="235"/>
      <c r="J453" s="235"/>
      <c r="K453" s="235"/>
    </row>
    <row r="454" spans="1:11" x14ac:dyDescent="0.2">
      <c r="A454" s="2"/>
      <c r="B454" s="235"/>
      <c r="C454" s="235"/>
      <c r="D454" s="235"/>
      <c r="I454" s="235"/>
      <c r="J454" s="235"/>
      <c r="K454" s="235"/>
    </row>
    <row r="455" spans="1:11" x14ac:dyDescent="0.2">
      <c r="A455" s="2"/>
      <c r="B455" s="235"/>
      <c r="C455" s="235"/>
      <c r="D455" s="235"/>
      <c r="I455" s="235"/>
      <c r="J455" s="235"/>
      <c r="K455" s="235"/>
    </row>
    <row r="456" spans="1:11" x14ac:dyDescent="0.2">
      <c r="A456" s="2"/>
      <c r="B456" s="235"/>
      <c r="C456" s="235"/>
      <c r="D456" s="235"/>
      <c r="I456" s="235"/>
      <c r="J456" s="235"/>
      <c r="K456" s="235"/>
    </row>
    <row r="457" spans="1:11" x14ac:dyDescent="0.2">
      <c r="A457" s="2"/>
      <c r="B457" s="235"/>
      <c r="C457" s="235"/>
      <c r="D457" s="235"/>
      <c r="I457" s="235"/>
      <c r="J457" s="235"/>
      <c r="K457" s="235"/>
    </row>
    <row r="458" spans="1:11" x14ac:dyDescent="0.2">
      <c r="A458" s="2"/>
      <c r="B458" s="235"/>
      <c r="C458" s="235"/>
      <c r="D458" s="235"/>
      <c r="I458" s="235"/>
      <c r="J458" s="235"/>
      <c r="K458" s="235"/>
    </row>
    <row r="459" spans="1:11" x14ac:dyDescent="0.2">
      <c r="A459" s="2"/>
      <c r="B459" s="235"/>
      <c r="C459" s="235"/>
      <c r="D459" s="235"/>
      <c r="I459" s="235"/>
      <c r="J459" s="235"/>
      <c r="K459" s="235"/>
    </row>
    <row r="460" spans="1:11" x14ac:dyDescent="0.2">
      <c r="A460" s="2"/>
      <c r="B460" s="235"/>
      <c r="C460" s="235"/>
      <c r="D460" s="235"/>
      <c r="I460" s="235"/>
      <c r="J460" s="235"/>
      <c r="K460" s="235"/>
    </row>
    <row r="461" spans="1:11" x14ac:dyDescent="0.2">
      <c r="A461" s="2"/>
      <c r="B461" s="235"/>
      <c r="C461" s="235"/>
      <c r="D461" s="235"/>
      <c r="I461" s="235"/>
      <c r="J461" s="235"/>
      <c r="K461" s="235"/>
    </row>
    <row r="462" spans="1:11" x14ac:dyDescent="0.2">
      <c r="A462" s="2"/>
      <c r="B462" s="235"/>
      <c r="C462" s="235"/>
      <c r="D462" s="235"/>
      <c r="I462" s="235"/>
      <c r="J462" s="235"/>
      <c r="K462" s="235"/>
    </row>
    <row r="463" spans="1:11" x14ac:dyDescent="0.2">
      <c r="A463" s="2"/>
      <c r="B463" s="235"/>
      <c r="C463" s="235"/>
      <c r="D463" s="235"/>
      <c r="I463" s="235"/>
      <c r="J463" s="235"/>
      <c r="K463" s="235"/>
    </row>
    <row r="464" spans="1:11" x14ac:dyDescent="0.2">
      <c r="A464" s="2"/>
      <c r="B464" s="235"/>
      <c r="C464" s="235"/>
      <c r="D464" s="235"/>
      <c r="I464" s="235"/>
      <c r="J464" s="235"/>
      <c r="K464" s="235"/>
    </row>
    <row r="465" spans="1:11" x14ac:dyDescent="0.2">
      <c r="A465" s="2"/>
      <c r="B465" s="235"/>
      <c r="C465" s="235"/>
      <c r="D465" s="235"/>
      <c r="I465" s="235"/>
      <c r="J465" s="235"/>
      <c r="K465" s="235"/>
    </row>
    <row r="466" spans="1:11" x14ac:dyDescent="0.2">
      <c r="A466" s="2"/>
      <c r="B466" s="235"/>
      <c r="C466" s="235"/>
      <c r="D466" s="235"/>
      <c r="I466" s="235"/>
      <c r="J466" s="235"/>
      <c r="K466" s="235"/>
    </row>
    <row r="467" spans="1:11" x14ac:dyDescent="0.2">
      <c r="A467" s="2"/>
      <c r="B467" s="235"/>
      <c r="C467" s="235"/>
      <c r="D467" s="235"/>
      <c r="I467" s="235"/>
      <c r="J467" s="235"/>
      <c r="K467" s="235"/>
    </row>
    <row r="468" spans="1:11" x14ac:dyDescent="0.2">
      <c r="A468" s="2"/>
      <c r="B468" s="235"/>
      <c r="C468" s="235"/>
      <c r="D468" s="235"/>
      <c r="I468" s="235"/>
      <c r="J468" s="235"/>
      <c r="K468" s="235"/>
    </row>
    <row r="469" spans="1:11" x14ac:dyDescent="0.2">
      <c r="A469" s="2"/>
      <c r="B469" s="235"/>
      <c r="C469" s="235"/>
      <c r="D469" s="235"/>
      <c r="I469" s="235"/>
      <c r="J469" s="235"/>
      <c r="K469" s="235"/>
    </row>
    <row r="470" spans="1:11" x14ac:dyDescent="0.2">
      <c r="A470" s="2"/>
      <c r="B470" s="235"/>
      <c r="C470" s="235"/>
      <c r="D470" s="235"/>
      <c r="I470" s="235"/>
      <c r="J470" s="235"/>
      <c r="K470" s="235"/>
    </row>
    <row r="471" spans="1:11" x14ac:dyDescent="0.2">
      <c r="A471" s="2"/>
      <c r="B471" s="235"/>
      <c r="C471" s="235"/>
      <c r="D471" s="235"/>
      <c r="I471" s="235"/>
      <c r="J471" s="235"/>
      <c r="K471" s="235"/>
    </row>
    <row r="472" spans="1:11" x14ac:dyDescent="0.2">
      <c r="A472" s="2"/>
      <c r="B472" s="235"/>
      <c r="C472" s="235"/>
      <c r="D472" s="235"/>
      <c r="I472" s="235"/>
      <c r="J472" s="235"/>
      <c r="K472" s="235"/>
    </row>
    <row r="473" spans="1:11" x14ac:dyDescent="0.2">
      <c r="A473" s="2"/>
      <c r="B473" s="235"/>
      <c r="C473" s="235"/>
      <c r="D473" s="235"/>
      <c r="I473" s="235"/>
      <c r="J473" s="235"/>
      <c r="K473" s="235"/>
    </row>
    <row r="474" spans="1:11" x14ac:dyDescent="0.2">
      <c r="A474" s="2"/>
      <c r="B474" s="235"/>
      <c r="C474" s="235"/>
      <c r="D474" s="235"/>
      <c r="I474" s="235"/>
      <c r="J474" s="235"/>
      <c r="K474" s="235"/>
    </row>
    <row r="475" spans="1:11" x14ac:dyDescent="0.2">
      <c r="A475" s="2"/>
      <c r="B475" s="235"/>
      <c r="C475" s="235"/>
      <c r="D475" s="235"/>
      <c r="I475" s="235"/>
      <c r="J475" s="235"/>
      <c r="K475" s="235"/>
    </row>
    <row r="476" spans="1:11" x14ac:dyDescent="0.2">
      <c r="A476" s="2"/>
      <c r="B476" s="235"/>
      <c r="C476" s="235"/>
      <c r="D476" s="235"/>
      <c r="I476" s="235"/>
      <c r="J476" s="235"/>
      <c r="K476" s="235"/>
    </row>
    <row r="477" spans="1:11" x14ac:dyDescent="0.2">
      <c r="A477" s="2"/>
      <c r="B477" s="235"/>
      <c r="C477" s="235"/>
      <c r="D477" s="235"/>
      <c r="I477" s="235"/>
      <c r="J477" s="235"/>
      <c r="K477" s="235"/>
    </row>
    <row r="478" spans="1:11" x14ac:dyDescent="0.2">
      <c r="A478" s="2"/>
      <c r="B478" s="235"/>
      <c r="C478" s="235"/>
      <c r="D478" s="235"/>
      <c r="I478" s="235"/>
      <c r="J478" s="235"/>
      <c r="K478" s="235"/>
    </row>
    <row r="479" spans="1:11" x14ac:dyDescent="0.2">
      <c r="A479" s="2"/>
      <c r="B479" s="235"/>
      <c r="C479" s="235"/>
      <c r="D479" s="235"/>
      <c r="I479" s="235"/>
      <c r="J479" s="235"/>
      <c r="K479" s="235"/>
    </row>
    <row r="480" spans="1:11" x14ac:dyDescent="0.2">
      <c r="A480" s="2"/>
      <c r="B480" s="235"/>
      <c r="C480" s="235"/>
      <c r="D480" s="235"/>
      <c r="I480" s="235"/>
      <c r="J480" s="235"/>
      <c r="K480" s="235"/>
    </row>
    <row r="481" spans="1:11" x14ac:dyDescent="0.2">
      <c r="A481" s="2"/>
      <c r="B481" s="235"/>
      <c r="C481" s="235"/>
      <c r="D481" s="235"/>
      <c r="I481" s="235"/>
      <c r="J481" s="235"/>
      <c r="K481" s="235"/>
    </row>
    <row r="482" spans="1:11" x14ac:dyDescent="0.2">
      <c r="A482" s="2"/>
      <c r="B482" s="235"/>
      <c r="C482" s="235"/>
      <c r="D482" s="235"/>
      <c r="I482" s="235"/>
      <c r="J482" s="235"/>
      <c r="K482" s="235"/>
    </row>
    <row r="483" spans="1:11" x14ac:dyDescent="0.2">
      <c r="A483" s="2"/>
      <c r="B483" s="235"/>
      <c r="C483" s="235"/>
      <c r="D483" s="235"/>
      <c r="I483" s="235"/>
      <c r="J483" s="235"/>
      <c r="K483" s="235"/>
    </row>
    <row r="484" spans="1:11" x14ac:dyDescent="0.2">
      <c r="A484" s="2"/>
      <c r="B484" s="235"/>
      <c r="C484" s="235"/>
      <c r="D484" s="235"/>
      <c r="I484" s="235"/>
      <c r="J484" s="235"/>
      <c r="K484" s="235"/>
    </row>
    <row r="485" spans="1:11" x14ac:dyDescent="0.2">
      <c r="A485" s="2"/>
      <c r="B485" s="235"/>
      <c r="C485" s="235"/>
      <c r="D485" s="235"/>
      <c r="I485" s="235"/>
      <c r="J485" s="235"/>
      <c r="K485" s="235"/>
    </row>
    <row r="486" spans="1:11" x14ac:dyDescent="0.2">
      <c r="A486" s="2"/>
      <c r="B486" s="235"/>
      <c r="C486" s="235"/>
      <c r="D486" s="235"/>
      <c r="I486" s="235"/>
      <c r="J486" s="235"/>
      <c r="K486" s="235"/>
    </row>
    <row r="487" spans="1:11" x14ac:dyDescent="0.2">
      <c r="A487" s="2"/>
      <c r="B487" s="235"/>
      <c r="C487" s="235"/>
      <c r="D487" s="235"/>
      <c r="I487" s="235"/>
      <c r="J487" s="235"/>
      <c r="K487" s="235"/>
    </row>
  </sheetData>
  <mergeCells count="8">
    <mergeCell ref="A4:A5"/>
    <mergeCell ref="E3:I3"/>
    <mergeCell ref="B4:B5"/>
    <mergeCell ref="J4:K4"/>
    <mergeCell ref="E4:E5"/>
    <mergeCell ref="F4:F5"/>
    <mergeCell ref="G4:G5"/>
    <mergeCell ref="H4:H5"/>
  </mergeCells>
  <phoneticPr fontId="7" type="noConversion"/>
  <printOptions horizontalCentered="1"/>
  <pageMargins left="0.59055118110236227" right="0.39370078740157483" top="0.35433070866141736" bottom="0.39370078740157483" header="0.35433070866141736" footer="0.19685039370078741"/>
  <pageSetup paperSize="9" scale="68" firstPageNumber="2" fitToHeight="5" orientation="landscape" useFirstPageNumber="1" r:id="rId1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5"/>
  <sheetViews>
    <sheetView showZeros="0" view="pageBreakPreview" zoomScale="80" zoomScaleNormal="90" zoomScaleSheetLayoutView="80" workbookViewId="0">
      <pane ySplit="5" topLeftCell="A129" activePane="bottomLeft" state="frozen"/>
      <selection pane="bottomLeft" activeCell="B99" sqref="B99"/>
    </sheetView>
  </sheetViews>
  <sheetFormatPr defaultColWidth="9.140625" defaultRowHeight="15" x14ac:dyDescent="0.2"/>
  <cols>
    <col min="1" max="1" width="16.28515625" style="183" customWidth="1"/>
    <col min="2" max="2" width="49.28515625" style="183" customWidth="1"/>
    <col min="3" max="3" width="14.7109375" style="183" customWidth="1"/>
    <col min="4" max="4" width="15.5703125" style="183" customWidth="1"/>
    <col min="5" max="9" width="14.28515625" style="183" customWidth="1"/>
    <col min="10" max="11" width="12.28515625" style="183" customWidth="1"/>
    <col min="12" max="12" width="14.140625" style="747" customWidth="1"/>
    <col min="13" max="13" width="13" style="829" bestFit="1" customWidth="1"/>
    <col min="14" max="14" width="11.5703125" style="747" bestFit="1" customWidth="1"/>
    <col min="15" max="15" width="11.5703125" style="747" customWidth="1"/>
    <col min="16" max="16" width="15.7109375" style="747" customWidth="1"/>
    <col min="17" max="16384" width="9.140625" style="11"/>
  </cols>
  <sheetData>
    <row r="1" spans="1:16" ht="18" x14ac:dyDescent="0.25">
      <c r="A1" s="535" t="s">
        <v>413</v>
      </c>
      <c r="E1" s="592"/>
      <c r="F1" s="592"/>
      <c r="G1" s="592"/>
      <c r="H1" s="592"/>
      <c r="I1" s="592"/>
      <c r="J1" s="592">
        <f>J8-J2</f>
        <v>0.44999999925494194</v>
      </c>
      <c r="K1" s="592">
        <f>K8-K2</f>
        <v>0.44999999925494194</v>
      </c>
    </row>
    <row r="2" spans="1:16" s="183" customFormat="1" ht="12" customHeight="1" x14ac:dyDescent="0.25">
      <c r="B2" s="15"/>
      <c r="C2" s="15"/>
      <c r="D2" s="15"/>
      <c r="E2" s="594"/>
      <c r="F2" s="594"/>
      <c r="G2" s="594"/>
      <c r="H2" s="594"/>
      <c r="I2" s="594"/>
      <c r="J2" s="593">
        <f>PRIMICI!J8</f>
        <v>21893904</v>
      </c>
      <c r="K2" s="593">
        <f>PRIMICI!K8</f>
        <v>19772172</v>
      </c>
      <c r="L2" s="748"/>
      <c r="N2" s="748"/>
      <c r="O2" s="748"/>
      <c r="P2" s="748"/>
    </row>
    <row r="3" spans="1:16" s="183" customFormat="1" ht="18" x14ac:dyDescent="0.25">
      <c r="A3" s="536" t="s">
        <v>380</v>
      </c>
      <c r="B3" s="15"/>
      <c r="C3" s="15"/>
      <c r="D3" s="15"/>
      <c r="E3" s="1069" t="s">
        <v>913</v>
      </c>
      <c r="F3" s="1070"/>
      <c r="G3" s="1070"/>
      <c r="H3" s="1070"/>
      <c r="I3" s="1071"/>
      <c r="J3" s="15"/>
      <c r="K3" s="523" t="s">
        <v>395</v>
      </c>
      <c r="L3" s="748"/>
      <c r="N3" s="748"/>
      <c r="O3" s="748"/>
      <c r="P3" s="748"/>
    </row>
    <row r="4" spans="1:16" s="183" customFormat="1" ht="45" customHeight="1" x14ac:dyDescent="0.25">
      <c r="A4" s="76" t="s">
        <v>9</v>
      </c>
      <c r="B4" s="1045" t="s">
        <v>32</v>
      </c>
      <c r="C4" s="833" t="s">
        <v>948</v>
      </c>
      <c r="D4" s="819" t="s">
        <v>919</v>
      </c>
      <c r="E4" s="1065" t="s">
        <v>248</v>
      </c>
      <c r="F4" s="1065" t="s">
        <v>249</v>
      </c>
      <c r="G4" s="1065" t="s">
        <v>246</v>
      </c>
      <c r="H4" s="1065" t="s">
        <v>247</v>
      </c>
      <c r="I4" s="319" t="s">
        <v>126</v>
      </c>
      <c r="J4" s="1049" t="s">
        <v>73</v>
      </c>
      <c r="K4" s="1072"/>
      <c r="L4" s="1065" t="s">
        <v>1079</v>
      </c>
      <c r="N4" s="748"/>
      <c r="O4" s="748"/>
      <c r="P4" s="748"/>
    </row>
    <row r="5" spans="1:16" s="183" customFormat="1" ht="33.75" customHeight="1" x14ac:dyDescent="0.25">
      <c r="A5" s="164" t="s">
        <v>31</v>
      </c>
      <c r="B5" s="1046"/>
      <c r="C5" s="834" t="s">
        <v>949</v>
      </c>
      <c r="D5" s="820" t="s">
        <v>920</v>
      </c>
      <c r="E5" s="1066"/>
      <c r="F5" s="1066"/>
      <c r="G5" s="1066"/>
      <c r="H5" s="1066"/>
      <c r="I5" s="660" t="s">
        <v>1090</v>
      </c>
      <c r="J5" s="170" t="s">
        <v>546</v>
      </c>
      <c r="K5" s="170" t="s">
        <v>914</v>
      </c>
      <c r="L5" s="1066"/>
      <c r="N5" s="748"/>
      <c r="O5" s="748"/>
      <c r="P5" s="748"/>
    </row>
    <row r="6" spans="1:16" s="183" customFormat="1" ht="15" customHeight="1" x14ac:dyDescent="0.2">
      <c r="A6" s="171">
        <v>1</v>
      </c>
      <c r="B6" s="171">
        <v>2</v>
      </c>
      <c r="C6" s="171">
        <v>3</v>
      </c>
      <c r="D6" s="171">
        <v>4</v>
      </c>
      <c r="E6" s="171">
        <v>5</v>
      </c>
      <c r="F6" s="171">
        <v>6</v>
      </c>
      <c r="G6" s="171">
        <v>7</v>
      </c>
      <c r="H6" s="171">
        <v>8</v>
      </c>
      <c r="I6" s="171">
        <v>9</v>
      </c>
      <c r="J6" s="171">
        <v>10</v>
      </c>
      <c r="K6" s="171">
        <v>11</v>
      </c>
      <c r="L6" s="749"/>
      <c r="N6" s="748"/>
      <c r="O6" s="748"/>
      <c r="P6" s="748"/>
    </row>
    <row r="7" spans="1:16" s="12" customFormat="1" ht="12" customHeight="1" x14ac:dyDescent="0.2">
      <c r="A7" s="38"/>
      <c r="B7" s="38"/>
      <c r="C7" s="32"/>
      <c r="D7" s="32"/>
      <c r="E7" s="561"/>
      <c r="F7" s="561"/>
      <c r="G7" s="561"/>
      <c r="H7" s="561"/>
      <c r="I7" s="561"/>
      <c r="J7" s="93"/>
      <c r="K7" s="93"/>
      <c r="L7" s="750"/>
      <c r="N7" s="750"/>
      <c r="O7" s="750"/>
      <c r="P7" s="750"/>
    </row>
    <row r="8" spans="1:16" s="183" customFormat="1" ht="19.5" customHeight="1" x14ac:dyDescent="0.25">
      <c r="A8" s="27" t="s">
        <v>128</v>
      </c>
      <c r="B8" s="172" t="s">
        <v>947</v>
      </c>
      <c r="C8" s="78">
        <f t="shared" ref="C8:K8" si="0">C10+C116+C143</f>
        <v>14824826.5</v>
      </c>
      <c r="D8" s="78">
        <f t="shared" si="0"/>
        <v>23366885.270000003</v>
      </c>
      <c r="E8" s="78">
        <f t="shared" si="0"/>
        <v>11531432.85</v>
      </c>
      <c r="F8" s="78">
        <f t="shared" si="0"/>
        <v>2633556</v>
      </c>
      <c r="G8" s="78">
        <f t="shared" si="0"/>
        <v>9026326.9800000004</v>
      </c>
      <c r="H8" s="78">
        <f t="shared" si="0"/>
        <v>3491051.68</v>
      </c>
      <c r="I8" s="78">
        <f t="shared" si="0"/>
        <v>26682367.510000002</v>
      </c>
      <c r="J8" s="78">
        <f t="shared" si="0"/>
        <v>21893904.449999999</v>
      </c>
      <c r="K8" s="78">
        <f t="shared" si="0"/>
        <v>19772172.449999999</v>
      </c>
      <c r="L8" s="889">
        <f>I8-D8</f>
        <v>3315482.2399999984</v>
      </c>
      <c r="M8" s="828"/>
      <c r="N8" s="748"/>
      <c r="O8" s="748"/>
      <c r="P8" s="748"/>
    </row>
    <row r="9" spans="1:16" s="183" customFormat="1" ht="8.25" customHeight="1" x14ac:dyDescent="0.25">
      <c r="A9" s="37"/>
      <c r="B9" s="111"/>
      <c r="C9" s="173"/>
      <c r="D9" s="173"/>
      <c r="E9" s="173"/>
      <c r="F9" s="173"/>
      <c r="G9" s="173"/>
      <c r="H9" s="173"/>
      <c r="I9" s="173"/>
      <c r="J9" s="173"/>
      <c r="K9" s="173"/>
      <c r="L9" s="889">
        <f t="shared" ref="L9:L73" si="1">I9-D9</f>
        <v>0</v>
      </c>
      <c r="M9" s="828"/>
      <c r="N9" s="748"/>
      <c r="O9" s="748"/>
      <c r="P9" s="748"/>
    </row>
    <row r="10" spans="1:16" s="183" customFormat="1" ht="15.75" customHeight="1" x14ac:dyDescent="0.25">
      <c r="A10" s="27">
        <v>610000</v>
      </c>
      <c r="B10" s="172" t="s">
        <v>945</v>
      </c>
      <c r="C10" s="78">
        <f t="shared" ref="C10:K10" si="2">C12+C19+C22+C50+C94+C112+C20+C114</f>
        <v>10944532.5</v>
      </c>
      <c r="D10" s="78">
        <f t="shared" si="2"/>
        <v>13514546.270000001</v>
      </c>
      <c r="E10" s="78">
        <f t="shared" si="2"/>
        <v>10502537.85</v>
      </c>
      <c r="F10" s="78">
        <f t="shared" si="2"/>
        <v>0</v>
      </c>
      <c r="G10" s="78">
        <f t="shared" si="2"/>
        <v>3816327</v>
      </c>
      <c r="H10" s="78">
        <f t="shared" si="2"/>
        <v>437999.68</v>
      </c>
      <c r="I10" s="78">
        <f t="shared" si="2"/>
        <v>14756864.530000001</v>
      </c>
      <c r="J10" s="78">
        <f t="shared" si="2"/>
        <v>13978822.449999999</v>
      </c>
      <c r="K10" s="78">
        <f t="shared" si="2"/>
        <v>14247172.449999999</v>
      </c>
      <c r="L10" s="889">
        <f t="shared" si="1"/>
        <v>1242318.2599999998</v>
      </c>
      <c r="M10" s="828"/>
      <c r="N10" s="748">
        <f>24521288-24565104</f>
        <v>-43816</v>
      </c>
      <c r="O10" s="748"/>
      <c r="P10" s="748"/>
    </row>
    <row r="11" spans="1:16" s="183" customFormat="1" ht="8.25" customHeight="1" x14ac:dyDescent="0.25">
      <c r="A11" s="106"/>
      <c r="B11" s="174"/>
      <c r="C11" s="173"/>
      <c r="D11" s="173"/>
      <c r="E11" s="173"/>
      <c r="F11" s="173"/>
      <c r="G11" s="173"/>
      <c r="H11" s="173"/>
      <c r="I11" s="173"/>
      <c r="J11" s="173"/>
      <c r="K11" s="173"/>
      <c r="L11" s="889">
        <f t="shared" si="1"/>
        <v>0</v>
      </c>
      <c r="M11" s="828"/>
      <c r="N11" s="748"/>
      <c r="O11" s="748"/>
      <c r="P11" s="748"/>
    </row>
    <row r="12" spans="1:16" s="183" customFormat="1" ht="15.75" x14ac:dyDescent="0.25">
      <c r="A12" s="27">
        <v>611000</v>
      </c>
      <c r="B12" s="172" t="s">
        <v>33</v>
      </c>
      <c r="C12" s="78">
        <f t="shared" ref="C12" si="3">SUM(C13:C14)</f>
        <v>3546714</v>
      </c>
      <c r="D12" s="78">
        <f t="shared" ref="D12:I12" si="4">SUM(D13:D14)</f>
        <v>4200603</v>
      </c>
      <c r="E12" s="78">
        <f t="shared" si="4"/>
        <v>4464376.2</v>
      </c>
      <c r="F12" s="78">
        <f t="shared" si="4"/>
        <v>0</v>
      </c>
      <c r="G12" s="78">
        <f t="shared" si="4"/>
        <v>0</v>
      </c>
      <c r="H12" s="78">
        <f t="shared" si="4"/>
        <v>0</v>
      </c>
      <c r="I12" s="78">
        <f t="shared" si="4"/>
        <v>4464376.2</v>
      </c>
      <c r="J12" s="78">
        <f>SUM(J13:J15)-J15</f>
        <v>4609793</v>
      </c>
      <c r="K12" s="78">
        <f>SUM(K13:K15)-K15</f>
        <v>4720793</v>
      </c>
      <c r="L12" s="889">
        <f t="shared" si="1"/>
        <v>263773.20000000019</v>
      </c>
      <c r="M12" s="828">
        <f>I12+I19+I20</f>
        <v>4897706.1500000004</v>
      </c>
      <c r="N12" s="183">
        <f>(2160*18*12)</f>
        <v>466560</v>
      </c>
      <c r="O12" s="748"/>
      <c r="P12" s="748"/>
    </row>
    <row r="13" spans="1:16" s="183" customFormat="1" ht="15.75" x14ac:dyDescent="0.25">
      <c r="A13" s="37">
        <v>611100</v>
      </c>
      <c r="B13" s="111" t="s">
        <v>34</v>
      </c>
      <c r="C13" s="39">
        <f>Korisnici!F40+Korisnici!F63+Korisnici!F106+Korisnici!F146+Korisnici!F287+Korisnici!F425+Korisnici!F468+Korisnici!F500+Korisnici!F628+Korisnici!F784+Korisnici!F537+Korisnici!F694</f>
        <v>3141439</v>
      </c>
      <c r="D13" s="39">
        <f>Korisnici!G40+Korisnici!G63+Korisnici!G106+Korisnici!G146+Korisnici!G287+Korisnici!G425+Korisnici!G468+Korisnici!G500+Korisnici!G628+Korisnici!G784+Korisnici!G537+Korisnici!G694-1</f>
        <v>3702749</v>
      </c>
      <c r="E13" s="39">
        <f>Korisnici!H40+Korisnici!H63+Korisnici!H106+Korisnici!H146+Korisnici!H287+Korisnici!H425+Korisnici!H468+Korisnici!H500+Korisnici!H628+Korisnici!H537+Korisnici!H694+Korisnici!H716+Korisnici!H784</f>
        <v>3901728</v>
      </c>
      <c r="F13" s="876">
        <f>Korisnici!I40+Korisnici!I63+Korisnici!I106+Korisnici!I146+Korisnici!I287+Korisnici!I425+Korisnici!I468+Korisnici!I500+Korisnici!I628+Korisnici!I537+Korisnici!I694+Korisnici!I716+Korisnici!I784</f>
        <v>0</v>
      </c>
      <c r="G13" s="876">
        <f>Korisnici!J40+Korisnici!J63+Korisnici!J106+Korisnici!J146+Korisnici!J287+Korisnici!J425+Korisnici!J468+Korisnici!J500+Korisnici!J628+Korisnici!J537+Korisnici!J694+Korisnici!J716+Korisnici!J784</f>
        <v>0</v>
      </c>
      <c r="H13" s="876">
        <f>Korisnici!K40+Korisnici!K63+Korisnici!K106+Korisnici!K146+Korisnici!K287+Korisnici!K425+Korisnici!K468+Korisnici!K500+Korisnici!K628+Korisnici!K537+Korisnici!K694+Korisnici!K716+Korisnici!K784</f>
        <v>0</v>
      </c>
      <c r="I13" s="876">
        <f>Korisnici!L40+Korisnici!L63+Korisnici!L106+Korisnici!L146+Korisnici!L287+Korisnici!L425+Korisnici!L468+Korisnici!L500+Korisnici!L628+Korisnici!L537+Korisnici!L694+Korisnici!L716+Korisnici!L784</f>
        <v>3901728</v>
      </c>
      <c r="J13" s="876">
        <f>Korisnici!M40+Korisnici!M63+Korisnici!M106+Korisnici!M146+Korisnici!M287+Korisnici!M425+Korisnici!M468+Korisnici!M500+Korisnici!M628+Korisnici!M537+Korisnici!M694+Korisnici!M716+Korisnici!M784</f>
        <v>4052796</v>
      </c>
      <c r="K13" s="876">
        <f>Korisnici!N40+Korisnici!N63+Korisnici!N106+Korisnici!N146+Korisnici!N287+Korisnici!N425+Korisnici!N468+Korisnici!N500+Korisnici!N628+Korisnici!N537+Korisnici!N694+Korisnici!N716+Korisnici!N784</f>
        <v>4163796</v>
      </c>
      <c r="L13" s="889">
        <f t="shared" si="1"/>
        <v>198979</v>
      </c>
      <c r="M13" s="828">
        <f>4443492-4039556</f>
        <v>403936</v>
      </c>
      <c r="N13" s="748">
        <f>2160</f>
        <v>2160</v>
      </c>
      <c r="O13" s="751"/>
      <c r="P13" s="751"/>
    </row>
    <row r="14" spans="1:16" s="183" customFormat="1" ht="29.25" customHeight="1" x14ac:dyDescent="0.25">
      <c r="A14" s="37">
        <v>611200</v>
      </c>
      <c r="B14" s="156" t="s">
        <v>383</v>
      </c>
      <c r="C14" s="39">
        <f>Korisnici!F41+Korisnici!F64+Korisnici!F107+Korisnici!F147+Korisnici!F288+Korisnici!F426+Korisnici!F469+Korisnici!F501+Korisnici!F538+Korisnici!F629+Korisnici!F785+Korisnici!F695</f>
        <v>405275</v>
      </c>
      <c r="D14" s="39">
        <f>Korisnici!G41+Korisnici!G64+Korisnici!G107+Korisnici!G147+Korisnici!G288+Korisnici!G426+Korisnici!G469+Korisnici!G501+Korisnici!G538+Korisnici!G629+Korisnici!G785+Korisnici!G695</f>
        <v>497854</v>
      </c>
      <c r="E14" s="39">
        <f>Korisnici!H41+Korisnici!H64+Korisnici!H107+Korisnici!H147+Korisnici!H288+Korisnici!H426+Korisnici!H469+Korisnici!H501+Korisnici!H538+Korisnici!H629+Korisnici!H695+Korisnici!H717+Korisnici!H785</f>
        <v>562648.20000000007</v>
      </c>
      <c r="F14" s="876">
        <f>Korisnici!I41+Korisnici!I64+Korisnici!I107+Korisnici!I147+Korisnici!I288+Korisnici!I426+Korisnici!I469+Korisnici!I501+Korisnici!I538+Korisnici!I629+Korisnici!I695+Korisnici!I717+Korisnici!I785</f>
        <v>0</v>
      </c>
      <c r="G14" s="876">
        <f>Korisnici!J41+Korisnici!J64+Korisnici!J107+Korisnici!J147+Korisnici!J288+Korisnici!J426+Korisnici!J469+Korisnici!J501+Korisnici!J538+Korisnici!J629+Korisnici!J695+Korisnici!J717+Korisnici!J785</f>
        <v>0</v>
      </c>
      <c r="H14" s="876">
        <f>Korisnici!K41+Korisnici!K64+Korisnici!K107+Korisnici!K147+Korisnici!K288+Korisnici!K426+Korisnici!K469+Korisnici!K501+Korisnici!K538+Korisnici!K629+Korisnici!K695+Korisnici!K717+Korisnici!K785</f>
        <v>0</v>
      </c>
      <c r="I14" s="876">
        <f>Korisnici!L41+Korisnici!L64+Korisnici!L107+Korisnici!L147+Korisnici!L288+Korisnici!L426+Korisnici!L469+Korisnici!L501+Korisnici!L538+Korisnici!L629+Korisnici!L695+Korisnici!L717+Korisnici!L785</f>
        <v>562648.20000000007</v>
      </c>
      <c r="J14" s="876">
        <f>Korisnici!M41+Korisnici!M64+Korisnici!M107+Korisnici!M147+Korisnici!M288+Korisnici!M426+Korisnici!M469+Korisnici!M501+Korisnici!M538+Korisnici!M629+Korisnici!M695+Korisnici!M717+Korisnici!M785</f>
        <v>556997</v>
      </c>
      <c r="K14" s="876">
        <f>Korisnici!N41+Korisnici!N64+Korisnici!N107+Korisnici!N147+Korisnici!N288+Korisnici!N426+Korisnici!N469+Korisnici!N501+Korisnici!N538+Korisnici!N629+Korisnici!N695+Korisnici!N717+Korisnici!N785</f>
        <v>556997</v>
      </c>
      <c r="L14" s="889">
        <f t="shared" si="1"/>
        <v>64794.20000000007</v>
      </c>
      <c r="M14" s="828"/>
      <c r="N14" s="183">
        <f>18*9.3*21*11+(18*450)</f>
        <v>46769.4</v>
      </c>
      <c r="O14" s="748"/>
      <c r="P14" s="748"/>
    </row>
    <row r="15" spans="1:16" s="183" customFormat="1" ht="15.75" x14ac:dyDescent="0.25">
      <c r="A15" s="37"/>
      <c r="B15" s="85" t="s">
        <v>47</v>
      </c>
      <c r="C15" s="96">
        <f>Korisnici!F65+Korisnici!F108+Korisnici!F148+Korisnici!F289+Korisnici!F539+Korisnici!F632</f>
        <v>31905</v>
      </c>
      <c r="D15" s="96">
        <f>Korisnici!G65+Korisnici!G108+Korisnici!G148+Korisnici!G289+Korisnici!G539+Korisnici!G632</f>
        <v>38675</v>
      </c>
      <c r="E15" s="96">
        <f>Korisnici!H65+Korisnici!H108+Korisnici!H148+Korisnici!H289+Korisnici!H539+Korisnici!H632+Korisnici!H718</f>
        <v>39950</v>
      </c>
      <c r="F15" s="96">
        <f>Korisnici!I65</f>
        <v>0</v>
      </c>
      <c r="G15" s="96">
        <f>Korisnici!J65</f>
        <v>0</v>
      </c>
      <c r="H15" s="96">
        <f>Korisnici!K65</f>
        <v>0</v>
      </c>
      <c r="I15" s="39">
        <f>E15+F15+G15+H15</f>
        <v>39950</v>
      </c>
      <c r="J15" s="876">
        <f t="shared" ref="J15:K15" si="5">F15+G15+H15+I15</f>
        <v>39950</v>
      </c>
      <c r="K15" s="876">
        <f t="shared" si="5"/>
        <v>79900</v>
      </c>
      <c r="L15" s="889">
        <f t="shared" si="1"/>
        <v>1275</v>
      </c>
      <c r="M15" s="828"/>
      <c r="N15" s="748"/>
      <c r="O15" s="748"/>
      <c r="P15" s="748"/>
    </row>
    <row r="16" spans="1:16" s="183" customFormat="1" ht="45.75" x14ac:dyDescent="0.25">
      <c r="A16" s="37"/>
      <c r="B16" s="44" t="s">
        <v>175</v>
      </c>
      <c r="C16" s="96">
        <f>Korisnici!F630</f>
        <v>0</v>
      </c>
      <c r="D16" s="96">
        <f>Korisnici!G630</f>
        <v>0</v>
      </c>
      <c r="E16" s="96">
        <f>Korisnici!H630+Korisnici!H631</f>
        <v>35000</v>
      </c>
      <c r="F16" s="96">
        <f>Korisnici!I630</f>
        <v>0</v>
      </c>
      <c r="G16" s="96">
        <f>Korisnici!J630</f>
        <v>0</v>
      </c>
      <c r="H16" s="96">
        <f>Korisnici!K630</f>
        <v>0</v>
      </c>
      <c r="I16" s="96">
        <f>Korisnici!L630+Korisnici!L631</f>
        <v>35000</v>
      </c>
      <c r="J16" s="897">
        <f>Korisnici!M630+Korisnici!M631</f>
        <v>35000</v>
      </c>
      <c r="K16" s="897">
        <f>Korisnici!N630+Korisnici!N631</f>
        <v>35000</v>
      </c>
      <c r="L16" s="889">
        <f t="shared" si="1"/>
        <v>35000</v>
      </c>
      <c r="M16" s="828"/>
      <c r="N16" s="748"/>
      <c r="O16" s="748"/>
      <c r="P16" s="748"/>
    </row>
    <row r="17" spans="1:16" s="183" customFormat="1" ht="30.75" x14ac:dyDescent="0.25">
      <c r="A17" s="874"/>
      <c r="B17" s="44" t="s">
        <v>1091</v>
      </c>
      <c r="C17" s="897"/>
      <c r="D17" s="897"/>
      <c r="E17" s="897"/>
      <c r="F17" s="897"/>
      <c r="G17" s="897"/>
      <c r="H17" s="897"/>
      <c r="I17" s="897"/>
      <c r="J17" s="897"/>
      <c r="K17" s="897"/>
      <c r="L17" s="889"/>
      <c r="M17" s="828"/>
      <c r="N17" s="748"/>
      <c r="O17" s="748"/>
      <c r="P17" s="748"/>
    </row>
    <row r="18" spans="1:16" s="183" customFormat="1" ht="7.5" customHeight="1" x14ac:dyDescent="0.25">
      <c r="A18" s="37"/>
      <c r="B18" s="111"/>
      <c r="C18" s="38"/>
      <c r="D18" s="38"/>
      <c r="E18" s="38"/>
      <c r="F18" s="38"/>
      <c r="G18" s="38"/>
      <c r="H18" s="38"/>
      <c r="I18" s="38"/>
      <c r="J18" s="38"/>
      <c r="K18" s="38"/>
      <c r="L18" s="889">
        <f t="shared" si="1"/>
        <v>0</v>
      </c>
      <c r="M18" s="828"/>
      <c r="N18" s="748"/>
      <c r="O18" s="748"/>
      <c r="P18" s="748"/>
    </row>
    <row r="19" spans="1:16" s="183" customFormat="1" ht="15.75" x14ac:dyDescent="0.25">
      <c r="A19" s="27">
        <v>612100</v>
      </c>
      <c r="B19" s="172" t="s">
        <v>35</v>
      </c>
      <c r="C19" s="78">
        <f>Korisnici!F44+Korisnici!F68+Korisnici!F111+Korisnici!F151+Korisnici!F292+Korisnici!F430+Korisnici!F472+Korisnici!F504+Korisnici!F542+Korisnici!F635+Korisnici!F788+Korisnici!F698+2421</f>
        <v>348013</v>
      </c>
      <c r="D19" s="78">
        <f>Korisnici!G44+Korisnici!G68+Korisnici!G111+Korisnici!G151+Korisnici!G292+Korisnici!G430+Korisnici!G472+Korisnici!G504+Korisnici!G542+Korisnici!G635+Korisnici!G788+Korisnici!G698</f>
        <v>407473.77999999997</v>
      </c>
      <c r="E19" s="78">
        <f>Korisnici!H44+Korisnici!H68+Korisnici!H111+Korisnici!H151+Korisnici!H292+Korisnici!H430+Korisnici!H472+Korisnici!H504+Korisnici!H542+Korisnici!H635+Korisnici!H698+Korisnici!H721+Korisnici!H788</f>
        <v>425822.46</v>
      </c>
      <c r="F19" s="889">
        <f>Korisnici!I44+Korisnici!I68+Korisnici!I111+Korisnici!I151+Korisnici!I292+Korisnici!I430+Korisnici!I472+Korisnici!I504+Korisnici!I542+Korisnici!I635+Korisnici!I698+Korisnici!I721+Korisnici!I788</f>
        <v>0</v>
      </c>
      <c r="G19" s="889">
        <f>Korisnici!J44+Korisnici!J68+Korisnici!J111+Korisnici!J151+Korisnici!J292+Korisnici!J430+Korisnici!J472+Korisnici!J504+Korisnici!J542+Korisnici!J635+Korisnici!J698+Korisnici!J721+Korisnici!J788</f>
        <v>0</v>
      </c>
      <c r="H19" s="889">
        <f>Korisnici!K44+Korisnici!K68+Korisnici!K111+Korisnici!K151+Korisnici!K292+Korisnici!K430+Korisnici!K472+Korisnici!K504+Korisnici!K542+Korisnici!K635+Korisnici!K698+Korisnici!K721+Korisnici!K788</f>
        <v>0</v>
      </c>
      <c r="I19" s="889">
        <f>Korisnici!L44+Korisnici!L68+Korisnici!L111+Korisnici!L151+Korisnici!L292+Korisnici!L430+Korisnici!L472+Korisnici!L504+Korisnici!L542+Korisnici!L635+Korisnici!L698+Korisnici!L721+Korisnici!L788</f>
        <v>425822.46</v>
      </c>
      <c r="J19" s="889">
        <f>Korisnici!M44+Korisnici!M68+Korisnici!M111+Korisnici!M151+Korisnici!M292+Korisnici!M430+Korisnici!M472+Korisnici!M504+Korisnici!M542+Korisnici!M635+Korisnici!M698+Korisnici!M721+Korisnici!M788</f>
        <v>442099.58</v>
      </c>
      <c r="K19" s="889">
        <f>Korisnici!N44+Korisnici!N68+Korisnici!N111+Korisnici!N151+Korisnici!N292+Korisnici!N430+Korisnici!N472+Korisnici!N504+Korisnici!N542+Korisnici!N635+Korisnici!N698+Korisnici!N721+Korisnici!N788</f>
        <v>459874.58</v>
      </c>
      <c r="L19" s="889">
        <f t="shared" si="1"/>
        <v>18348.680000000051</v>
      </c>
      <c r="M19" s="828">
        <f>478101-436284</f>
        <v>41817</v>
      </c>
      <c r="N19" s="748"/>
      <c r="O19" s="748"/>
      <c r="P19" s="748"/>
    </row>
    <row r="20" spans="1:16" s="183" customFormat="1" ht="47.25" x14ac:dyDescent="0.25">
      <c r="A20" s="27">
        <v>612219</v>
      </c>
      <c r="B20" s="87" t="s">
        <v>387</v>
      </c>
      <c r="C20" s="78">
        <f>Korisnici!F152+Korisnici!F789</f>
        <v>0</v>
      </c>
      <c r="D20" s="78">
        <f>Korisnici!G152+Korisnici!G789</f>
        <v>5815.49</v>
      </c>
      <c r="E20" s="78">
        <f>Korisnici!H152+Korisnici!H789</f>
        <v>7507.49</v>
      </c>
      <c r="F20" s="889">
        <f>Korisnici!I152+Korisnici!I789</f>
        <v>0</v>
      </c>
      <c r="G20" s="889">
        <f>Korisnici!J152+Korisnici!J789</f>
        <v>0</v>
      </c>
      <c r="H20" s="889">
        <f>Korisnici!K152+Korisnici!K789</f>
        <v>0</v>
      </c>
      <c r="I20" s="889">
        <f>Korisnici!L152+Korisnici!L789</f>
        <v>7507.49</v>
      </c>
      <c r="J20" s="889">
        <f>Korisnici!M152+Korisnici!M789</f>
        <v>6000</v>
      </c>
      <c r="K20" s="889">
        <f>Korisnici!N152+Korisnici!N789</f>
        <v>6000</v>
      </c>
      <c r="L20" s="889">
        <f t="shared" si="1"/>
        <v>1692</v>
      </c>
      <c r="M20" s="828"/>
      <c r="N20" s="748"/>
      <c r="O20" s="748"/>
      <c r="P20" s="748"/>
    </row>
    <row r="21" spans="1:16" s="183" customFormat="1" ht="12" customHeight="1" x14ac:dyDescent="0.25">
      <c r="A21" s="106"/>
      <c r="B21" s="174"/>
      <c r="C21" s="40"/>
      <c r="D21" s="40"/>
      <c r="E21" s="40"/>
      <c r="F21" s="40"/>
      <c r="G21" s="40"/>
      <c r="H21" s="40"/>
      <c r="I21" s="40"/>
      <c r="J21" s="40"/>
      <c r="K21" s="40"/>
      <c r="L21" s="889">
        <f t="shared" si="1"/>
        <v>0</v>
      </c>
      <c r="M21" s="828"/>
      <c r="N21" s="748"/>
      <c r="O21" s="748"/>
      <c r="P21" s="748"/>
    </row>
    <row r="22" spans="1:16" s="183" customFormat="1" ht="15" customHeight="1" x14ac:dyDescent="0.25">
      <c r="A22" s="27">
        <v>613000</v>
      </c>
      <c r="B22" s="172" t="s">
        <v>36</v>
      </c>
      <c r="C22" s="78">
        <f t="shared" ref="C22" si="6">C23+C24+C26+C29+C31+C32+C40+C41</f>
        <v>2848145.5</v>
      </c>
      <c r="D22" s="78">
        <f t="shared" ref="D22:I22" si="7">D23+D24+D26+D29+D31+D32+D40+D41</f>
        <v>4003518</v>
      </c>
      <c r="E22" s="78">
        <f t="shared" si="7"/>
        <v>1472220.3</v>
      </c>
      <c r="F22" s="78">
        <f t="shared" si="7"/>
        <v>0</v>
      </c>
      <c r="G22" s="78">
        <f t="shared" si="7"/>
        <v>2693545</v>
      </c>
      <c r="H22" s="78">
        <f t="shared" si="7"/>
        <v>189999.68</v>
      </c>
      <c r="I22" s="78">
        <f t="shared" si="7"/>
        <v>4355764.9800000004</v>
      </c>
      <c r="J22" s="78">
        <f t="shared" ref="J22:K22" si="8">J23+J24+J26+J29+J31+J32+J40+J41</f>
        <v>3906152</v>
      </c>
      <c r="K22" s="78">
        <f t="shared" si="8"/>
        <v>3925302</v>
      </c>
      <c r="L22" s="889">
        <f t="shared" si="1"/>
        <v>352246.98000000045</v>
      </c>
      <c r="M22" s="828">
        <f>E22+F22+G22+H22</f>
        <v>4355764.9799999995</v>
      </c>
      <c r="N22" s="748"/>
      <c r="O22" s="748"/>
      <c r="P22" s="748"/>
    </row>
    <row r="23" spans="1:16" s="183" customFormat="1" ht="15.75" x14ac:dyDescent="0.25">
      <c r="A23" s="37">
        <v>613100</v>
      </c>
      <c r="B23" s="111" t="s">
        <v>37</v>
      </c>
      <c r="C23" s="39">
        <f>Korisnici!F11+Korisnici!F46+Korisnici!F70+Korisnici!F113+Korisnici!F154+Korisnici!F294+Korisnici!F432+Korisnici!F474+Korisnici!F506+Korisnici!F637+Korisnici!F791+Korisnici!F544+Korisnici!F700</f>
        <v>20835</v>
      </c>
      <c r="D23" s="39">
        <f>Korisnici!G11+Korisnici!G46+Korisnici!G70+Korisnici!G113+Korisnici!G154+Korisnici!G294+Korisnici!G432+Korisnici!G474+Korisnici!G506+Korisnici!G637+Korisnici!G791+Korisnici!G544+Korisnici!G700</f>
        <v>22300</v>
      </c>
      <c r="E23" s="39">
        <f>Korisnici!H11+Korisnici!H46+Korisnici!H70+Korisnici!H113+Korisnici!H154+Korisnici!H294+Korisnici!H432+Korisnici!H474+Korisnici!H506+Korisnici!H637+Korisnici!H544+Korisnici!H700+Korisnici!H723+Korisnici!H791</f>
        <v>31700</v>
      </c>
      <c r="F23" s="39">
        <f>Korisnici!I11+Korisnici!I46+Korisnici!I70+Korisnici!I113+Korisnici!I154+Korisnici!I294+Korisnici!I432+Korisnici!I474+Korisnici!I506+Korisnici!I637+Korisnici!I791+Korisnici!I544+Korisnici!I700</f>
        <v>0</v>
      </c>
      <c r="G23" s="39">
        <f>Korisnici!J11+Korisnici!J46+Korisnici!J70+Korisnici!J113+Korisnici!J154+Korisnici!J294+Korisnici!J432+Korisnici!J474+Korisnici!J506+Korisnici!J637+Korisnici!J791+Korisnici!J544+Korisnici!J700</f>
        <v>0</v>
      </c>
      <c r="H23" s="39">
        <f>Korisnici!K11+Korisnici!K46+Korisnici!K70+Korisnici!K113+Korisnici!K154+Korisnici!K294+Korisnici!K432+Korisnici!K474+Korisnici!K506+Korisnici!K637+Korisnici!K791+Korisnici!K544+Korisnici!K700</f>
        <v>0</v>
      </c>
      <c r="I23" s="876">
        <f>Korisnici!L11+Korisnici!L46+Korisnici!L70+Korisnici!L113+Korisnici!L154+Korisnici!L294+Korisnici!L432+Korisnici!L474+Korisnici!L506+Korisnici!L637+Korisnici!L544+Korisnici!L700+Korisnici!L723+Korisnici!L791</f>
        <v>31700</v>
      </c>
      <c r="J23" s="876">
        <f>Korisnici!M11+Korisnici!M46+Korisnici!M70+Korisnici!M113+Korisnici!M154+Korisnici!M294+Korisnici!M432+Korisnici!M474+Korisnici!M506+Korisnici!M637+Korisnici!M544+Korisnici!M700+Korisnici!M723+Korisnici!M791</f>
        <v>28000</v>
      </c>
      <c r="K23" s="876">
        <f>Korisnici!N11+Korisnici!N46+Korisnici!N70+Korisnici!N113+Korisnici!N154+Korisnici!N294+Korisnici!N432+Korisnici!N474+Korisnici!N506+Korisnici!N637+Korisnici!N544+Korisnici!N700+Korisnici!N723+Korisnici!N791</f>
        <v>28500</v>
      </c>
      <c r="L23" s="889">
        <f t="shared" si="1"/>
        <v>9400</v>
      </c>
      <c r="M23" s="828">
        <f>E23+F23+G23+H23</f>
        <v>31700</v>
      </c>
      <c r="N23" s="748"/>
      <c r="O23" s="748"/>
      <c r="P23" s="748"/>
    </row>
    <row r="24" spans="1:16" s="183" customFormat="1" ht="15.75" x14ac:dyDescent="0.25">
      <c r="A24" s="37">
        <v>613200</v>
      </c>
      <c r="B24" s="111" t="s">
        <v>38</v>
      </c>
      <c r="C24" s="39">
        <f>Korisnici!F545+Korisnici!F638+Korisnici!F724</f>
        <v>610088</v>
      </c>
      <c r="D24" s="876">
        <f>Korisnici!G545+Korisnici!G638+Korisnici!G724</f>
        <v>572500</v>
      </c>
      <c r="E24" s="876">
        <f>Korisnici!H545+Korisnici!H638+Korisnici!H724</f>
        <v>63000</v>
      </c>
      <c r="F24" s="876">
        <f>Korisnici!I545+Korisnici!I638+Korisnici!I724</f>
        <v>0</v>
      </c>
      <c r="G24" s="876">
        <f>Korisnici!J545+Korisnici!J638+Korisnici!J724</f>
        <v>582500</v>
      </c>
      <c r="H24" s="876">
        <f>Korisnici!K545+Korisnici!K638+Korisnici!K724</f>
        <v>0</v>
      </c>
      <c r="I24" s="876">
        <f>Korisnici!L545+Korisnici!L638+Korisnici!L724</f>
        <v>645500</v>
      </c>
      <c r="J24" s="876">
        <f>Korisnici!M545+Korisnici!M638+Korisnici!M724</f>
        <v>565000</v>
      </c>
      <c r="K24" s="876">
        <f>Korisnici!N545+Korisnici!N638+Korisnici!N724</f>
        <v>565000</v>
      </c>
      <c r="L24" s="889">
        <f t="shared" si="1"/>
        <v>73000</v>
      </c>
      <c r="M24" s="828">
        <f>E24+F24+G24+H24</f>
        <v>645500</v>
      </c>
      <c r="N24" s="748"/>
      <c r="O24" s="748"/>
      <c r="P24" s="748"/>
    </row>
    <row r="25" spans="1:16" s="183" customFormat="1" ht="15.75" x14ac:dyDescent="0.25">
      <c r="A25" s="37">
        <v>613200</v>
      </c>
      <c r="B25" s="49" t="s">
        <v>204</v>
      </c>
      <c r="C25" s="39">
        <f>Korisnici!F725</f>
        <v>557906</v>
      </c>
      <c r="D25" s="39">
        <f>Korisnici!G725</f>
        <v>500000</v>
      </c>
      <c r="E25" s="39">
        <f>Korisnici!H725</f>
        <v>0</v>
      </c>
      <c r="F25" s="39">
        <f>Korisnici!I725</f>
        <v>0</v>
      </c>
      <c r="G25" s="39">
        <f>Korisnici!J725</f>
        <v>580000</v>
      </c>
      <c r="H25" s="39">
        <f>Korisnici!K725</f>
        <v>0</v>
      </c>
      <c r="I25" s="39">
        <f>Korisnici!L725</f>
        <v>580000</v>
      </c>
      <c r="J25" s="876">
        <f>Korisnici!M725</f>
        <v>500000</v>
      </c>
      <c r="K25" s="876">
        <f>Korisnici!N725</f>
        <v>500000</v>
      </c>
      <c r="L25" s="889">
        <f t="shared" si="1"/>
        <v>80000</v>
      </c>
      <c r="M25" s="828"/>
      <c r="N25" s="748"/>
      <c r="O25" s="748"/>
      <c r="P25" s="748"/>
    </row>
    <row r="26" spans="1:16" s="183" customFormat="1" ht="15.75" x14ac:dyDescent="0.25">
      <c r="A26" s="37">
        <v>613300</v>
      </c>
      <c r="B26" s="107" t="s">
        <v>203</v>
      </c>
      <c r="C26" s="39">
        <f t="shared" ref="C26" si="9">C27+C28</f>
        <v>877183</v>
      </c>
      <c r="D26" s="39">
        <f t="shared" ref="D26:J26" si="10">D27+D28</f>
        <v>882080</v>
      </c>
      <c r="E26" s="39">
        <f t="shared" si="10"/>
        <v>112060</v>
      </c>
      <c r="F26" s="39">
        <f t="shared" si="10"/>
        <v>0</v>
      </c>
      <c r="G26" s="39">
        <f t="shared" si="10"/>
        <v>780000</v>
      </c>
      <c r="H26" s="39">
        <f t="shared" si="10"/>
        <v>0</v>
      </c>
      <c r="I26" s="39">
        <f t="shared" si="10"/>
        <v>892060</v>
      </c>
      <c r="J26" s="876">
        <f t="shared" si="10"/>
        <v>871100</v>
      </c>
      <c r="K26" s="876">
        <f t="shared" ref="K26" si="11">K27+K28</f>
        <v>869100</v>
      </c>
      <c r="L26" s="889">
        <f t="shared" si="1"/>
        <v>9980</v>
      </c>
      <c r="M26" s="828"/>
      <c r="N26" s="748"/>
      <c r="O26" s="748"/>
      <c r="P26" s="748"/>
    </row>
    <row r="27" spans="1:16" s="183" customFormat="1" ht="15.75" x14ac:dyDescent="0.25">
      <c r="A27" s="52">
        <v>613300</v>
      </c>
      <c r="B27" s="85" t="s">
        <v>39</v>
      </c>
      <c r="C27" s="96">
        <f>Korisnici!F12+Korisnici!F47+Korisnici!F71+Korisnici!F114+Korisnici!F155+Korisnici!F296+Korisnici!F433+Korisnici!F476+Korisnici!F507+Korisnici!F639+Korisnici!F546+Korisnici!F792+Korisnici!F701</f>
        <v>83640</v>
      </c>
      <c r="D27" s="96">
        <f>Korisnici!G12+Korisnici!G47+Korisnici!G71+Korisnici!G114+Korisnici!G155+Korisnici!G296+Korisnici!G433+Korisnici!G476+Korisnici!G507+Korisnici!G639+Korisnici!G546+Korisnici!G792+Korisnici!G701</f>
        <v>102080</v>
      </c>
      <c r="E27" s="96">
        <f>Korisnici!H12+Korisnici!H47+Korisnici!H71+Korisnici!H114+Korisnici!H155+Korisnici!H296+Korisnici!H433+Korisnici!H476+Korisnici!H507+Korisnici!H639+Korisnici!H546+Korisnici!H701+Korisnici!H728+Korisnici!H792</f>
        <v>112060</v>
      </c>
      <c r="F27" s="897">
        <f>Korisnici!I12+Korisnici!I47+Korisnici!I71+Korisnici!I114+Korisnici!I155+Korisnici!I296+Korisnici!I433+Korisnici!I476+Korisnici!I507+Korisnici!I639+Korisnici!I546+Korisnici!I701+Korisnici!I728+Korisnici!I792</f>
        <v>0</v>
      </c>
      <c r="G27" s="897">
        <f>Korisnici!J12+Korisnici!J47+Korisnici!J71+Korisnici!J114+Korisnici!J155+Korisnici!J296+Korisnici!J433+Korisnici!J476+Korisnici!J507+Korisnici!J639+Korisnici!J546+Korisnici!J701+Korisnici!J728+Korisnici!J792</f>
        <v>0</v>
      </c>
      <c r="H27" s="897">
        <f>Korisnici!K12+Korisnici!K47+Korisnici!K71+Korisnici!K114+Korisnici!K155+Korisnici!K296+Korisnici!K433+Korisnici!K476+Korisnici!K507+Korisnici!K639+Korisnici!K546+Korisnici!K701+Korisnici!K728+Korisnici!K792</f>
        <v>0</v>
      </c>
      <c r="I27" s="897">
        <f>Korisnici!L12+Korisnici!L47+Korisnici!L71+Korisnici!L114+Korisnici!L155+Korisnici!L296+Korisnici!L433+Korisnici!L476+Korisnici!L507+Korisnici!L639+Korisnici!L546+Korisnici!L701+Korisnici!L728+Korisnici!L792</f>
        <v>112060</v>
      </c>
      <c r="J27" s="897">
        <f>Korisnici!M12+Korisnici!M47+Korisnici!M71+Korisnici!M114+Korisnici!M155+Korisnici!M296+Korisnici!M433+Korisnici!M476+Korisnici!M507+Korisnici!M639+Korisnici!M546+Korisnici!M701+Korisnici!M728+Korisnici!M792</f>
        <v>111100</v>
      </c>
      <c r="K27" s="897">
        <f>Korisnici!N12+Korisnici!N47+Korisnici!N71+Korisnici!N114+Korisnici!N155+Korisnici!N296+Korisnici!N433+Korisnici!N476+Korisnici!N507+Korisnici!N639+Korisnici!N546+Korisnici!N701+Korisnici!N728+Korisnici!N792</f>
        <v>109100</v>
      </c>
      <c r="L27" s="889">
        <f t="shared" si="1"/>
        <v>9980</v>
      </c>
      <c r="M27" s="828"/>
      <c r="N27" s="748"/>
      <c r="O27" s="748"/>
      <c r="P27" s="748"/>
    </row>
    <row r="28" spans="1:16" s="183" customFormat="1" ht="15.75" x14ac:dyDescent="0.25">
      <c r="A28" s="37">
        <v>613329</v>
      </c>
      <c r="B28" s="85" t="s">
        <v>105</v>
      </c>
      <c r="C28" s="96">
        <f>Korisnici!F731</f>
        <v>793543</v>
      </c>
      <c r="D28" s="96">
        <f>Korisnici!G731</f>
        <v>780000</v>
      </c>
      <c r="E28" s="96">
        <f>Korisnici!H731</f>
        <v>0</v>
      </c>
      <c r="F28" s="96">
        <f>Korisnici!I731</f>
        <v>0</v>
      </c>
      <c r="G28" s="96">
        <f>Korisnici!J731</f>
        <v>780000</v>
      </c>
      <c r="H28" s="96">
        <f>Korisnici!K731</f>
        <v>0</v>
      </c>
      <c r="I28" s="96">
        <f>Korisnici!L731</f>
        <v>780000</v>
      </c>
      <c r="J28" s="897">
        <f>Korisnici!M731</f>
        <v>760000</v>
      </c>
      <c r="K28" s="897">
        <f>Korisnici!N731</f>
        <v>760000</v>
      </c>
      <c r="L28" s="889">
        <f t="shared" si="1"/>
        <v>0</v>
      </c>
      <c r="M28" s="828"/>
      <c r="N28" s="748"/>
      <c r="O28" s="748"/>
      <c r="P28" s="748"/>
    </row>
    <row r="29" spans="1:16" s="183" customFormat="1" ht="15.75" x14ac:dyDescent="0.25">
      <c r="A29" s="37">
        <v>613400</v>
      </c>
      <c r="B29" s="111" t="s">
        <v>40</v>
      </c>
      <c r="C29" s="39">
        <f>Korisnici!F14+Korisnici!F50+Korisnici!F75+Korisnici!F117+Korisnici!F160+Korisnici!F299+Korisnici!F436+Korisnici!F479+Korisnici!F510+Korisnici!F645+Korisnici!F795+Korisnici!F552+Korisnici!F704+240</f>
        <v>107812</v>
      </c>
      <c r="D29" s="39">
        <f>Korisnici!G14+Korisnici!G50+Korisnici!G75+Korisnici!G117+Korisnici!G160+Korisnici!G299+Korisnici!G436+Korisnici!G479+Korisnici!G510+Korisnici!G645+Korisnici!G795+Korisnici!G552+Korisnici!H704+Korisnici!G737</f>
        <v>190560</v>
      </c>
      <c r="E29" s="39">
        <f>Korisnici!H14+Korisnici!H50+Korisnici!H75+Korisnici!H117+Korisnici!H160+Korisnici!H299+Korisnici!H436+Korisnici!H479+Korisnici!H510+Korisnici!H552+Korisnici!H645+Korisnici!H646+Korisnici!H704+Korisnici!H737+Korisnici!H795</f>
        <v>135560</v>
      </c>
      <c r="F29" s="876">
        <f>Korisnici!I14+Korisnici!I50+Korisnici!I75+Korisnici!I117+Korisnici!I160+Korisnici!I299+Korisnici!I436+Korisnici!I479+Korisnici!I510+Korisnici!I552+Korisnici!I645+Korisnici!I646+Korisnici!I704+Korisnici!I737+Korisnici!I795</f>
        <v>0</v>
      </c>
      <c r="G29" s="876">
        <f>Korisnici!J14+Korisnici!J50+Korisnici!J75+Korisnici!J117+Korisnici!J160+Korisnici!J299+Korisnici!J436+Korisnici!J479+Korisnici!J510+Korisnici!J552+Korisnici!J645+Korisnici!J646+Korisnici!J704+Korisnici!J737+Korisnici!J795</f>
        <v>60000</v>
      </c>
      <c r="H29" s="876">
        <f>Korisnici!K14+Korisnici!K50+Korisnici!K75+Korisnici!K117+Korisnici!K160+Korisnici!K299+Korisnici!K436+Korisnici!K479+Korisnici!K510+Korisnici!K552+Korisnici!K645+Korisnici!K646+Korisnici!K704+Korisnici!K737+Korisnici!K795</f>
        <v>0</v>
      </c>
      <c r="I29" s="876">
        <f>Korisnici!L14+Korisnici!L50+Korisnici!L75+Korisnici!L117+Korisnici!L160+Korisnici!L299+Korisnici!L436+Korisnici!L479+Korisnici!L510+Korisnici!L552+Korisnici!L645+Korisnici!L646+Korisnici!L704+Korisnici!L737+Korisnici!L795</f>
        <v>195560</v>
      </c>
      <c r="J29" s="876">
        <f>Korisnici!M14+Korisnici!M50+Korisnici!M75+Korisnici!M117+Korisnici!M160+Korisnici!M299+Korisnici!M436+Korisnici!M479+Korisnici!M510+Korisnici!M552+Korisnici!M645+Korisnici!M646+Korisnici!M704+Korisnici!M737+Korisnici!M795</f>
        <v>163550</v>
      </c>
      <c r="K29" s="876">
        <f>Korisnici!N14+Korisnici!N50+Korisnici!N75+Korisnici!N117+Korisnici!N160+Korisnici!N299+Korisnici!N436+Korisnici!N479+Korisnici!N510+Korisnici!N552+Korisnici!N645+Korisnici!N646+Korisnici!N704+Korisnici!N737+Korisnici!N795</f>
        <v>164000</v>
      </c>
      <c r="L29" s="889">
        <f t="shared" si="1"/>
        <v>5000</v>
      </c>
      <c r="M29" s="828"/>
      <c r="N29" s="748"/>
      <c r="O29" s="748"/>
      <c r="P29" s="748"/>
    </row>
    <row r="30" spans="1:16" s="183" customFormat="1" ht="27.75" customHeight="1" x14ac:dyDescent="0.25">
      <c r="A30" s="37"/>
      <c r="B30" s="44" t="s">
        <v>184</v>
      </c>
      <c r="C30" s="39">
        <f>Korisnici!F557</f>
        <v>21255</v>
      </c>
      <c r="D30" s="39">
        <f>Korisnici!G557</f>
        <v>39000</v>
      </c>
      <c r="E30" s="39">
        <f>Korisnici!H557</f>
        <v>0</v>
      </c>
      <c r="F30" s="39">
        <f>Korisnici!I557</f>
        <v>0</v>
      </c>
      <c r="G30" s="39">
        <f>Korisnici!J557</f>
        <v>30000</v>
      </c>
      <c r="H30" s="39">
        <f>Korisnici!K557</f>
        <v>0</v>
      </c>
      <c r="I30" s="39">
        <f>Korisnici!L557</f>
        <v>30000</v>
      </c>
      <c r="J30" s="39">
        <f>Korisnici!M557</f>
        <v>30000</v>
      </c>
      <c r="K30" s="876">
        <f>Korisnici!N557</f>
        <v>30000</v>
      </c>
      <c r="L30" s="889">
        <f t="shared" si="1"/>
        <v>-9000</v>
      </c>
      <c r="M30" s="828"/>
      <c r="N30" s="748"/>
      <c r="O30" s="748"/>
      <c r="P30" s="748"/>
    </row>
    <row r="31" spans="1:16" s="183" customFormat="1" ht="15.75" x14ac:dyDescent="0.25">
      <c r="A31" s="37">
        <v>613500</v>
      </c>
      <c r="B31" s="111" t="s">
        <v>41</v>
      </c>
      <c r="C31" s="39">
        <f>Korisnici!F647+Korisnici!F558+Korisnici!F161</f>
        <v>27808</v>
      </c>
      <c r="D31" s="39">
        <f>Korisnici!G647+Korisnici!G558+Korisnici!G161</f>
        <v>43000</v>
      </c>
      <c r="E31" s="39">
        <f>Korisnici!H647+Korisnici!H558+Korisnici!H161</f>
        <v>48000</v>
      </c>
      <c r="F31" s="39">
        <f>Korisnici!I647+Korisnici!I558+Korisnici!I161</f>
        <v>0</v>
      </c>
      <c r="G31" s="39">
        <f>Korisnici!J647+Korisnici!J558+Korisnici!J161</f>
        <v>0</v>
      </c>
      <c r="H31" s="39">
        <f>Korisnici!K647+Korisnici!K558+Korisnici!K161</f>
        <v>0</v>
      </c>
      <c r="I31" s="39">
        <f>Korisnici!L647+Korisnici!L558+Korisnici!L161</f>
        <v>48000</v>
      </c>
      <c r="J31" s="876">
        <f>Korisnici!M647+Korisnici!M558+Korisnici!M161</f>
        <v>48000</v>
      </c>
      <c r="K31" s="876">
        <f>Korisnici!N647+Korisnici!N558+Korisnici!N161</f>
        <v>48000</v>
      </c>
      <c r="L31" s="889">
        <f t="shared" si="1"/>
        <v>5000</v>
      </c>
      <c r="M31" s="828"/>
      <c r="N31" s="748"/>
      <c r="O31" s="748"/>
      <c r="P31" s="748"/>
    </row>
    <row r="32" spans="1:16" s="183" customFormat="1" ht="14.25" customHeight="1" x14ac:dyDescent="0.25">
      <c r="A32" s="37">
        <v>613700</v>
      </c>
      <c r="B32" s="111" t="s">
        <v>82</v>
      </c>
      <c r="C32" s="39">
        <f t="shared" ref="C32" si="12">C33+C37+C38+C39</f>
        <v>321051</v>
      </c>
      <c r="D32" s="39">
        <f t="shared" ref="D32:J32" si="13">D33+D37+D38+D39</f>
        <v>845970</v>
      </c>
      <c r="E32" s="39">
        <f t="shared" si="13"/>
        <v>160000</v>
      </c>
      <c r="F32" s="39">
        <f t="shared" si="13"/>
        <v>0</v>
      </c>
      <c r="G32" s="39">
        <f t="shared" si="13"/>
        <v>797000</v>
      </c>
      <c r="H32" s="39">
        <f t="shared" si="13"/>
        <v>70000</v>
      </c>
      <c r="I32" s="39">
        <f t="shared" si="13"/>
        <v>1027000</v>
      </c>
      <c r="J32" s="876">
        <f t="shared" si="13"/>
        <v>853500</v>
      </c>
      <c r="K32" s="876">
        <f t="shared" ref="K32" si="14">K33+K37+K38+K39</f>
        <v>853500</v>
      </c>
      <c r="L32" s="889">
        <f t="shared" si="1"/>
        <v>181030</v>
      </c>
      <c r="M32" s="828"/>
      <c r="N32" s="748"/>
      <c r="O32" s="748"/>
      <c r="P32" s="748"/>
    </row>
    <row r="33" spans="1:16" s="320" customFormat="1" ht="15.75" x14ac:dyDescent="0.25">
      <c r="A33" s="52"/>
      <c r="B33" s="49" t="s">
        <v>83</v>
      </c>
      <c r="C33" s="103">
        <f t="shared" ref="C33" si="15">C34+C35+C36</f>
        <v>41842</v>
      </c>
      <c r="D33" s="103">
        <f t="shared" ref="D33:J33" si="16">D34+D35+D36</f>
        <v>148970</v>
      </c>
      <c r="E33" s="103">
        <f t="shared" si="16"/>
        <v>160000</v>
      </c>
      <c r="F33" s="103">
        <f t="shared" si="16"/>
        <v>0</v>
      </c>
      <c r="G33" s="103">
        <f t="shared" si="16"/>
        <v>0</v>
      </c>
      <c r="H33" s="103">
        <f t="shared" si="16"/>
        <v>0</v>
      </c>
      <c r="I33" s="103">
        <f t="shared" si="16"/>
        <v>160000</v>
      </c>
      <c r="J33" s="900">
        <f t="shared" si="16"/>
        <v>153500</v>
      </c>
      <c r="K33" s="900">
        <f t="shared" ref="K33" si="17">K34+K35+K36</f>
        <v>153500</v>
      </c>
      <c r="L33" s="889">
        <f t="shared" si="1"/>
        <v>11030</v>
      </c>
      <c r="M33" s="828"/>
      <c r="N33" s="752"/>
      <c r="O33" s="752"/>
      <c r="P33" s="752"/>
    </row>
    <row r="34" spans="1:16" s="320" customFormat="1" ht="15.75" x14ac:dyDescent="0.25">
      <c r="A34" s="52"/>
      <c r="B34" s="85" t="s">
        <v>84</v>
      </c>
      <c r="C34" s="96">
        <f>Korisnici!F651+Korisnici!F652+Korisnici!F653+Korisnici!F654</f>
        <v>25607</v>
      </c>
      <c r="D34" s="96">
        <f>Korisnici!G651+Korisnici!G652+Korisnici!G653+Korisnici!G654</f>
        <v>59000</v>
      </c>
      <c r="E34" s="96">
        <f>Korisnici!H651+Korisnici!H652+Korisnici!H653+Korisnici!H654+Korisnici!H655</f>
        <v>69500</v>
      </c>
      <c r="F34" s="96">
        <f>Korisnici!I651+Korisnici!I652+Korisnici!I653+Korisnici!I654+Korisnici!I655</f>
        <v>0</v>
      </c>
      <c r="G34" s="96">
        <f>Korisnici!J651+Korisnici!J652+Korisnici!J653+Korisnici!J654+Korisnici!J655</f>
        <v>0</v>
      </c>
      <c r="H34" s="96">
        <f>Korisnici!K651+Korisnici!K652+Korisnici!K653+Korisnici!K654+Korisnici!K655</f>
        <v>0</v>
      </c>
      <c r="I34" s="96">
        <f>Korisnici!L651+Korisnici!L652+Korisnici!L653+Korisnici!L654+Korisnici!L655</f>
        <v>69500</v>
      </c>
      <c r="J34" s="897">
        <f>Korisnici!M651+Korisnici!M652+Korisnici!M653+Korisnici!M654+Korisnici!M655</f>
        <v>63000</v>
      </c>
      <c r="K34" s="897">
        <f>Korisnici!N651+Korisnici!N652+Korisnici!N653+Korisnici!N654+Korisnici!N655</f>
        <v>63000</v>
      </c>
      <c r="L34" s="889">
        <f t="shared" si="1"/>
        <v>10500</v>
      </c>
      <c r="M34" s="828"/>
      <c r="N34" s="752"/>
      <c r="O34" s="752"/>
      <c r="P34" s="752"/>
    </row>
    <row r="35" spans="1:16" s="320" customFormat="1" ht="13.5" customHeight="1" x14ac:dyDescent="0.25">
      <c r="A35" s="52"/>
      <c r="B35" s="85" t="s">
        <v>85</v>
      </c>
      <c r="C35" s="96">
        <f>Korisnici!F118+Korisnici!F162+Korisnici!F560+Korisnici!F656+Korisnici!F657+Korisnici!F658</f>
        <v>15981</v>
      </c>
      <c r="D35" s="96">
        <f>Korisnici!G118+Korisnici!G162+Korisnici!G560+Korisnici!G656+Korisnici!G657+Korisnici!G658</f>
        <v>84970</v>
      </c>
      <c r="E35" s="96">
        <f>Korisnici!H118+Korisnici!H162+Korisnici!H511+Korisnici!H560+Korisnici!H656+Korisnici!H657+Korisnici!H658</f>
        <v>90500</v>
      </c>
      <c r="F35" s="96">
        <f>Korisnici!I118+Korisnici!I162+Korisnici!I560+Korisnici!I656+Korisnici!I657+Korisnici!I658</f>
        <v>0</v>
      </c>
      <c r="G35" s="96">
        <f>Korisnici!J118+Korisnici!J162+Korisnici!J560+Korisnici!J656+Korisnici!J657+Korisnici!J658</f>
        <v>0</v>
      </c>
      <c r="H35" s="96">
        <f>Korisnici!K118+Korisnici!K162+Korisnici!K560+Korisnici!K656+Korisnici!K657+Korisnici!K658</f>
        <v>0</v>
      </c>
      <c r="I35" s="96">
        <f>Korisnici!L118+Korisnici!L162+Korisnici!L511+Korisnici!L560+Korisnici!L656+Korisnici!L657+Korisnici!L658</f>
        <v>90500</v>
      </c>
      <c r="J35" s="897">
        <f>Korisnici!M118+Korisnici!M162+Korisnici!M511+Korisnici!M560+Korisnici!M656+Korisnici!M657+Korisnici!M658</f>
        <v>90500</v>
      </c>
      <c r="K35" s="897">
        <f>Korisnici!N118+Korisnici!N162+Korisnici!N511+Korisnici!N560+Korisnici!N656+Korisnici!N657+Korisnici!N658</f>
        <v>90500</v>
      </c>
      <c r="L35" s="889">
        <f t="shared" si="1"/>
        <v>5530</v>
      </c>
      <c r="M35" s="828"/>
      <c r="N35" s="752"/>
      <c r="O35" s="752"/>
      <c r="P35" s="752"/>
    </row>
    <row r="36" spans="1:16" s="320" customFormat="1" ht="15.75" x14ac:dyDescent="0.25">
      <c r="A36" s="96"/>
      <c r="B36" s="101" t="s">
        <v>294</v>
      </c>
      <c r="C36" s="96">
        <f>Korisnici!F659</f>
        <v>254</v>
      </c>
      <c r="D36" s="96">
        <f>Korisnici!G659</f>
        <v>5000</v>
      </c>
      <c r="E36" s="96">
        <f>Korisnici!H659</f>
        <v>0</v>
      </c>
      <c r="F36" s="96">
        <f>Korisnici!I659</f>
        <v>0</v>
      </c>
      <c r="G36" s="96">
        <f>Korisnici!J659</f>
        <v>0</v>
      </c>
      <c r="H36" s="96">
        <f>Korisnici!K659</f>
        <v>0</v>
      </c>
      <c r="I36" s="96">
        <f>Korisnici!L659</f>
        <v>0</v>
      </c>
      <c r="J36" s="96">
        <f>Korisnici!M659</f>
        <v>0</v>
      </c>
      <c r="K36" s="897">
        <f>Korisnici!N659</f>
        <v>0</v>
      </c>
      <c r="L36" s="889">
        <f t="shared" si="1"/>
        <v>-5000</v>
      </c>
      <c r="M36" s="828"/>
      <c r="N36" s="752"/>
      <c r="O36" s="752"/>
      <c r="P36" s="752"/>
    </row>
    <row r="37" spans="1:16" s="320" customFormat="1" ht="15.75" x14ac:dyDescent="0.25">
      <c r="A37" s="52">
        <v>613724</v>
      </c>
      <c r="B37" s="85" t="s">
        <v>86</v>
      </c>
      <c r="C37" s="96">
        <f>Korisnici!F740</f>
        <v>150537</v>
      </c>
      <c r="D37" s="96">
        <f>Korisnici!G740</f>
        <v>530000</v>
      </c>
      <c r="E37" s="96">
        <f>Korisnici!H740</f>
        <v>0</v>
      </c>
      <c r="F37" s="96">
        <f>Korisnici!I740</f>
        <v>0</v>
      </c>
      <c r="G37" s="96">
        <f>Korisnici!J740</f>
        <v>600000</v>
      </c>
      <c r="H37" s="96">
        <f>Korisnici!K740</f>
        <v>0</v>
      </c>
      <c r="I37" s="96">
        <f>Korisnici!L740</f>
        <v>600000</v>
      </c>
      <c r="J37" s="897">
        <f>Korisnici!M740</f>
        <v>533000</v>
      </c>
      <c r="K37" s="897">
        <f>Korisnici!N740</f>
        <v>530000</v>
      </c>
      <c r="L37" s="889">
        <f t="shared" si="1"/>
        <v>70000</v>
      </c>
      <c r="M37" s="828"/>
      <c r="N37" s="752"/>
      <c r="O37" s="752"/>
      <c r="P37" s="752"/>
    </row>
    <row r="38" spans="1:16" s="320" customFormat="1" ht="15.75" x14ac:dyDescent="0.25">
      <c r="A38" s="52">
        <v>613726</v>
      </c>
      <c r="B38" s="85" t="s">
        <v>87</v>
      </c>
      <c r="C38" s="96">
        <f>Korisnici!F742</f>
        <v>123672</v>
      </c>
      <c r="D38" s="96">
        <f>Korisnici!G742</f>
        <v>150000</v>
      </c>
      <c r="E38" s="96">
        <f>Korisnici!H742</f>
        <v>0</v>
      </c>
      <c r="F38" s="96">
        <f>Korisnici!I742</f>
        <v>0</v>
      </c>
      <c r="G38" s="96">
        <f>Korisnici!J742</f>
        <v>150000</v>
      </c>
      <c r="H38" s="96">
        <f>Korisnici!K742</f>
        <v>0</v>
      </c>
      <c r="I38" s="96">
        <f>Korisnici!L742</f>
        <v>150000</v>
      </c>
      <c r="J38" s="897">
        <f>Korisnici!M742</f>
        <v>150000</v>
      </c>
      <c r="K38" s="897">
        <f>Korisnici!N742</f>
        <v>150000</v>
      </c>
      <c r="L38" s="889">
        <f t="shared" si="1"/>
        <v>0</v>
      </c>
      <c r="M38" s="828"/>
      <c r="N38" s="752"/>
      <c r="O38" s="752"/>
      <c r="P38" s="752"/>
    </row>
    <row r="39" spans="1:16" s="320" customFormat="1" ht="45.75" x14ac:dyDescent="0.25">
      <c r="A39" s="52">
        <v>613727</v>
      </c>
      <c r="B39" s="279" t="s">
        <v>1209</v>
      </c>
      <c r="C39" s="96">
        <f>Korisnici!F743+Korisnici!F744</f>
        <v>5000</v>
      </c>
      <c r="D39" s="96">
        <f>Korisnici!G743+Korisnici!G744</f>
        <v>17000</v>
      </c>
      <c r="E39" s="96"/>
      <c r="F39" s="96">
        <f>Korisnici!I743</f>
        <v>0</v>
      </c>
      <c r="G39" s="96">
        <f>Korisnici!J743+Korisnici!J744+Korisnici!J745</f>
        <v>47000</v>
      </c>
      <c r="H39" s="897">
        <f>Korisnici!K743+Korisnici!K744+Korisnici!K745</f>
        <v>70000</v>
      </c>
      <c r="I39" s="897">
        <f>Korisnici!L743+Korisnici!L744+Korisnici!L745</f>
        <v>117000</v>
      </c>
      <c r="J39" s="897">
        <f>Korisnici!M743+Korisnici!M744+Korisnici!M745</f>
        <v>17000</v>
      </c>
      <c r="K39" s="897">
        <f>Korisnici!N743+Korisnici!N744+Korisnici!N745</f>
        <v>20000</v>
      </c>
      <c r="L39" s="889">
        <f t="shared" si="1"/>
        <v>100000</v>
      </c>
      <c r="M39" s="828"/>
      <c r="N39" s="752"/>
      <c r="O39" s="752"/>
      <c r="P39" s="752"/>
    </row>
    <row r="40" spans="1:16" s="183" customFormat="1" ht="15.75" x14ac:dyDescent="0.25">
      <c r="A40" s="37">
        <v>613800</v>
      </c>
      <c r="B40" s="111" t="s">
        <v>88</v>
      </c>
      <c r="C40" s="39">
        <f>Korisnici!F76+Korisnici!F119+Korisnici!F564+Korisnici!F660+Korisnici!F661</f>
        <v>9395</v>
      </c>
      <c r="D40" s="39">
        <f>Korisnici!G76+Korisnici!G119+Korisnici!G564+Korisnici!G660+Korisnici!G661</f>
        <v>24000</v>
      </c>
      <c r="E40" s="39">
        <f>Korisnici!H76+Korisnici!H119+Korisnici!H564+Korisnici!H660+Korisnici!H661</f>
        <v>25200</v>
      </c>
      <c r="F40" s="39">
        <f>Korisnici!I76+Korisnici!I119+Korisnici!I564+Korisnici!I660+Korisnici!I661</f>
        <v>0</v>
      </c>
      <c r="G40" s="39">
        <f>Korisnici!J76+Korisnici!J119+Korisnici!J564+Korisnici!J660+Korisnici!J661</f>
        <v>0</v>
      </c>
      <c r="H40" s="39">
        <f>Korisnici!K76+Korisnici!K119+Korisnici!K564+Korisnici!K660+Korisnici!K661</f>
        <v>0</v>
      </c>
      <c r="I40" s="39">
        <f>Korisnici!L76+Korisnici!L119+Korisnici!L564+Korisnici!L660+Korisnici!L661</f>
        <v>25200</v>
      </c>
      <c r="J40" s="876">
        <f>Korisnici!M76+Korisnici!M119+Korisnici!M564+Korisnici!M660+Korisnici!M661</f>
        <v>24200</v>
      </c>
      <c r="K40" s="876">
        <f>Korisnici!N76+Korisnici!N119+Korisnici!N564+Korisnici!N660+Korisnici!N661</f>
        <v>23900</v>
      </c>
      <c r="L40" s="889">
        <f t="shared" si="1"/>
        <v>1200</v>
      </c>
      <c r="M40" s="828"/>
      <c r="N40" s="748"/>
      <c r="O40" s="748"/>
      <c r="P40" s="748"/>
    </row>
    <row r="41" spans="1:16" s="183" customFormat="1" ht="15.75" x14ac:dyDescent="0.25">
      <c r="A41" s="37">
        <v>613900</v>
      </c>
      <c r="B41" s="111" t="s">
        <v>89</v>
      </c>
      <c r="C41" s="39">
        <f>Korisnici!F15+Korisnici!F51+Korisnici!F77+Korisnici!F120+Korisnici!F163+Korisnici!F300+Korisnici!F437+Korisnici!F480+Korisnici!F512+Korisnici!F662+Korisnici!F796+Korisnici!F567+Korisnici!F705+2170</f>
        <v>873973.5</v>
      </c>
      <c r="D41" s="876">
        <f>Korisnici!G15+Korisnici!G51+Korisnici!G77+Korisnici!G120+Korisnici!G163+Korisnici!G300+Korisnici!G437+Korisnici!G480+Korisnici!G512+Korisnici!G662+Korisnici!G567+Korisnici!G705+Korisnici!G746+Korisnici!G796</f>
        <v>1423108</v>
      </c>
      <c r="E41" s="39">
        <f>Korisnici!H15+Korisnici!H51+Korisnici!H77+Korisnici!H120+Korisnici!H163+Korisnici!H300+Korisnici!H437+Korisnici!H480+Korisnici!H512+Korisnici!H662+Korisnici!H567+Korisnici!H705+Korisnici!H746+Korisnici!H796</f>
        <v>896700.3</v>
      </c>
      <c r="F41" s="39">
        <f>Korisnici!I15+Korisnici!I51+Korisnici!I77+Korisnici!I120+Korisnici!I163+Korisnici!I300+Korisnici!I437+Korisnici!I480+Korisnici!I512+Korisnici!I662+Korisnici!I796+Korisnici!I567</f>
        <v>0</v>
      </c>
      <c r="G41" s="39">
        <f>Korisnici!J15+Korisnici!J51+Korisnici!J77+Korisnici!J120+Korisnici!J163+Korisnici!J300+Korisnici!J437+Korisnici!J480+Korisnici!J512+Korisnici!J662+Korisnici!J567+Korisnici!J746+Korisnici!J796</f>
        <v>474045</v>
      </c>
      <c r="H41" s="876">
        <f>Korisnici!K15+Korisnici!K51+Korisnici!K77+Korisnici!K120+Korisnici!K163+Korisnici!K300+Korisnici!K437+Korisnici!K480+Korisnici!K512+Korisnici!K662+Korisnici!K567+Korisnici!K746+Korisnici!K796</f>
        <v>119999.67999999999</v>
      </c>
      <c r="I41" s="876">
        <f>Korisnici!L15+Korisnici!L51+Korisnici!L77+Korisnici!L120+Korisnici!L163+Korisnici!L300+Korisnici!L437+Korisnici!L480+Korisnici!L512+Korisnici!L662+Korisnici!L567+Korisnici!L705+Korisnici!L746+Korisnici!L796</f>
        <v>1490744.98</v>
      </c>
      <c r="J41" s="876">
        <f>Korisnici!M15+Korisnici!M51+Korisnici!M77+Korisnici!M120+Korisnici!M163+Korisnici!M300+Korisnici!M437+Korisnici!M480+Korisnici!M512+Korisnici!M662+Korisnici!M567+Korisnici!M705+Korisnici!M746+Korisnici!M796</f>
        <v>1352802</v>
      </c>
      <c r="K41" s="876">
        <f>Korisnici!N15+Korisnici!N51+Korisnici!N77+Korisnici!N120+Korisnici!N163+Korisnici!N300+Korisnici!N437+Korisnici!N480+Korisnici!N512+Korisnici!N662+Korisnici!N567+Korisnici!N705+Korisnici!N746+Korisnici!N796</f>
        <v>1373302</v>
      </c>
      <c r="L41" s="889">
        <f t="shared" si="1"/>
        <v>67636.979999999981</v>
      </c>
      <c r="M41" s="828"/>
      <c r="N41" s="748"/>
      <c r="O41" s="748"/>
      <c r="P41" s="748"/>
    </row>
    <row r="42" spans="1:16" s="183" customFormat="1" ht="15.75" x14ac:dyDescent="0.25">
      <c r="A42" s="37"/>
      <c r="B42" s="175" t="s">
        <v>149</v>
      </c>
      <c r="C42" s="39">
        <f>Korisnici!F21</f>
        <v>254887</v>
      </c>
      <c r="D42" s="39">
        <f>Korisnici!G21</f>
        <v>250000</v>
      </c>
      <c r="E42" s="39">
        <f>Korisnici!H21</f>
        <v>250000</v>
      </c>
      <c r="F42" s="39">
        <f>Korisnici!I21</f>
        <v>0</v>
      </c>
      <c r="G42" s="39">
        <f>Korisnici!J21</f>
        <v>0</v>
      </c>
      <c r="H42" s="39">
        <f>Korisnici!K21</f>
        <v>0</v>
      </c>
      <c r="I42" s="39">
        <f>Korisnici!L21</f>
        <v>250000</v>
      </c>
      <c r="J42" s="876">
        <f>Korisnici!M21</f>
        <v>250000</v>
      </c>
      <c r="K42" s="876">
        <f>Korisnici!N21</f>
        <v>250000</v>
      </c>
      <c r="L42" s="889">
        <f t="shared" si="1"/>
        <v>0</v>
      </c>
      <c r="M42" s="828"/>
      <c r="N42" s="748"/>
      <c r="O42" s="748"/>
      <c r="P42" s="748"/>
    </row>
    <row r="43" spans="1:16" s="183" customFormat="1" ht="15.75" x14ac:dyDescent="0.25">
      <c r="A43" s="37"/>
      <c r="B43" s="118" t="s">
        <v>150</v>
      </c>
      <c r="C43" s="39">
        <f>Korisnici!F18</f>
        <v>73792</v>
      </c>
      <c r="D43" s="39">
        <f>Korisnici!G18</f>
        <v>88700</v>
      </c>
      <c r="E43" s="39">
        <f>Korisnici!H18</f>
        <v>88700</v>
      </c>
      <c r="F43" s="39">
        <f>Korisnici!I18</f>
        <v>0</v>
      </c>
      <c r="G43" s="39">
        <f>Korisnici!J18</f>
        <v>0</v>
      </c>
      <c r="H43" s="39">
        <f>Korisnici!K18</f>
        <v>0</v>
      </c>
      <c r="I43" s="39">
        <f>Korisnici!L18</f>
        <v>88700</v>
      </c>
      <c r="J43" s="876">
        <f>Korisnici!M18</f>
        <v>69400</v>
      </c>
      <c r="K43" s="876">
        <f>Korisnici!N18</f>
        <v>69400</v>
      </c>
      <c r="L43" s="889">
        <f t="shared" si="1"/>
        <v>0</v>
      </c>
      <c r="M43" s="828"/>
      <c r="N43" s="748"/>
      <c r="O43" s="748"/>
      <c r="P43" s="748"/>
    </row>
    <row r="44" spans="1:16" s="183" customFormat="1" ht="15.75" x14ac:dyDescent="0.25">
      <c r="A44" s="37"/>
      <c r="B44" s="118" t="s">
        <v>177</v>
      </c>
      <c r="C44" s="39">
        <f>Korisnici!F667+Korisnici!F669</f>
        <v>28610</v>
      </c>
      <c r="D44" s="39">
        <f>Korisnici!G667+Korisnici!G669</f>
        <v>21080</v>
      </c>
      <c r="E44" s="39">
        <f>Korisnici!H667+Korisnici!H669</f>
        <v>21100</v>
      </c>
      <c r="F44" s="39">
        <f>Korisnici!I667+Korisnici!I669</f>
        <v>0</v>
      </c>
      <c r="G44" s="39">
        <f>Korisnici!J667+Korisnici!J669</f>
        <v>0</v>
      </c>
      <c r="H44" s="39">
        <f>Korisnici!K667+Korisnici!K669</f>
        <v>0</v>
      </c>
      <c r="I44" s="39">
        <f>Korisnici!L667+Korisnici!L669</f>
        <v>21100</v>
      </c>
      <c r="J44" s="876">
        <f>Korisnici!M667+Korisnici!M669</f>
        <v>21000</v>
      </c>
      <c r="K44" s="876">
        <f>Korisnici!N667+Korisnici!N669</f>
        <v>21000</v>
      </c>
      <c r="L44" s="889">
        <f t="shared" si="1"/>
        <v>20</v>
      </c>
      <c r="M44" s="828"/>
      <c r="N44" s="748"/>
      <c r="O44" s="748"/>
      <c r="P44" s="748"/>
    </row>
    <row r="45" spans="1:16" s="183" customFormat="1" ht="15.75" x14ac:dyDescent="0.25">
      <c r="A45" s="37"/>
      <c r="B45" s="85" t="s">
        <v>143</v>
      </c>
      <c r="C45" s="96">
        <f>Korisnici!F805</f>
        <v>600</v>
      </c>
      <c r="D45" s="96">
        <f>Korisnici!G805</f>
        <v>50000</v>
      </c>
      <c r="E45" s="96"/>
      <c r="F45" s="96"/>
      <c r="G45" s="96">
        <f>Korisnici!J805</f>
        <v>0</v>
      </c>
      <c r="H45" s="96">
        <f>Korisnici!K805</f>
        <v>0</v>
      </c>
      <c r="I45" s="96">
        <f>Korisnici!L805</f>
        <v>50000</v>
      </c>
      <c r="J45" s="897">
        <f>Korisnici!M805</f>
        <v>50000</v>
      </c>
      <c r="K45" s="897">
        <f>Korisnici!N805</f>
        <v>50000</v>
      </c>
      <c r="L45" s="889">
        <f t="shared" si="1"/>
        <v>0</v>
      </c>
      <c r="M45" s="828"/>
      <c r="N45" s="748"/>
      <c r="O45" s="748"/>
      <c r="P45" s="748"/>
    </row>
    <row r="46" spans="1:16" s="183" customFormat="1" ht="45.75" x14ac:dyDescent="0.25">
      <c r="A46" s="159"/>
      <c r="B46" s="163" t="s">
        <v>75</v>
      </c>
      <c r="C46" s="316">
        <f>Korisnici!F571+Korisnici!F574+Korisnici!F575+Korisnici!F576+Korisnici!F577+Korisnici!F579</f>
        <v>95760</v>
      </c>
      <c r="D46" s="316">
        <f>Korisnici!G571+Korisnici!G574+Korisnici!G575+Korisnici!G576+Korisnici!G577+Korisnici!G579</f>
        <v>272414</v>
      </c>
      <c r="E46" s="316">
        <f>Korisnici!H571+Korisnici!H574+Korisnici!H575+Korisnici!H576+Korisnici!H577+Korisnici!H579</f>
        <v>0</v>
      </c>
      <c r="F46" s="316">
        <f>Korisnici!I571+Korisnici!I574+Korisnici!I575+Korisnici!I576+Korisnici!I577+Korisnici!I579</f>
        <v>0</v>
      </c>
      <c r="G46" s="316">
        <f>Korisnici!J571+Korisnici!J574+Korisnici!J575+Korisnici!J576+Korisnici!J577+Korisnici!J579</f>
        <v>265598</v>
      </c>
      <c r="H46" s="316">
        <f>Korisnici!K571+Korisnici!K574+Korisnici!K575+Korisnici!K576+Korisnici!K577+Korisnici!K579</f>
        <v>0</v>
      </c>
      <c r="I46" s="316">
        <f>Korisnici!L571+Korisnici!L574+Korisnici!L575+Korisnici!L576+Korisnici!L577+Korisnici!L579</f>
        <v>265598</v>
      </c>
      <c r="J46" s="316">
        <f>Korisnici!M571+Korisnici!M574+Korisnici!M575+Korisnici!M576+Korisnici!M577+Korisnici!M579</f>
        <v>252202</v>
      </c>
      <c r="K46" s="316">
        <f>Korisnici!N571+Korisnici!N574+Korisnici!N575+Korisnici!N576+Korisnici!N577+Korisnici!N579</f>
        <v>252202</v>
      </c>
      <c r="L46" s="889">
        <f t="shared" si="1"/>
        <v>-6816</v>
      </c>
      <c r="M46" s="828"/>
      <c r="N46" s="748"/>
      <c r="O46" s="748"/>
      <c r="P46" s="748"/>
    </row>
    <row r="47" spans="1:16" s="321" customFormat="1" ht="30.75" x14ac:dyDescent="0.25">
      <c r="A47" s="269"/>
      <c r="B47" s="270" t="s">
        <v>257</v>
      </c>
      <c r="C47" s="315">
        <f>Korisnici!F585</f>
        <v>54330</v>
      </c>
      <c r="D47" s="315">
        <f>Korisnici!G585</f>
        <v>47092</v>
      </c>
      <c r="E47" s="315">
        <f>Korisnici!H585</f>
        <v>0</v>
      </c>
      <c r="F47" s="315">
        <f>Korisnici!I585</f>
        <v>0</v>
      </c>
      <c r="G47" s="315">
        <f>Korisnici!J585</f>
        <v>0</v>
      </c>
      <c r="H47" s="315">
        <f>Korisnici!K585</f>
        <v>-0.31999999999970896</v>
      </c>
      <c r="I47" s="315">
        <f>Korisnici!L585</f>
        <v>-0.31999999999970896</v>
      </c>
      <c r="J47" s="315">
        <f>Korisnici!M585</f>
        <v>0</v>
      </c>
      <c r="K47" s="315">
        <f>Korisnici!N585</f>
        <v>0</v>
      </c>
      <c r="L47" s="889">
        <f t="shared" si="1"/>
        <v>-47092.32</v>
      </c>
      <c r="M47" s="828"/>
      <c r="N47" s="753"/>
      <c r="O47" s="753"/>
      <c r="P47" s="753"/>
    </row>
    <row r="48" spans="1:16" s="183" customFormat="1" ht="30.75" x14ac:dyDescent="0.25">
      <c r="A48" s="37"/>
      <c r="B48" s="121" t="s">
        <v>164</v>
      </c>
      <c r="C48" s="176">
        <f>Korisnici!F587</f>
        <v>0</v>
      </c>
      <c r="D48" s="176">
        <f>Korisnici!G587</f>
        <v>10000</v>
      </c>
      <c r="E48" s="176">
        <f>Korisnici!H587</f>
        <v>10000</v>
      </c>
      <c r="F48" s="176">
        <f>Korisnici!I587</f>
        <v>0</v>
      </c>
      <c r="G48" s="176">
        <f>Korisnici!J587</f>
        <v>0</v>
      </c>
      <c r="H48" s="176">
        <f>Korisnici!K587</f>
        <v>0</v>
      </c>
      <c r="I48" s="176">
        <f>Korisnici!L587</f>
        <v>10000</v>
      </c>
      <c r="J48" s="176">
        <f>Korisnici!M587</f>
        <v>10000</v>
      </c>
      <c r="K48" s="176">
        <f>Korisnici!N587</f>
        <v>10000</v>
      </c>
      <c r="L48" s="889">
        <f t="shared" si="1"/>
        <v>0</v>
      </c>
      <c r="M48" s="828"/>
      <c r="N48" s="748"/>
      <c r="O48" s="748"/>
      <c r="P48" s="748"/>
    </row>
    <row r="49" spans="1:16" s="183" customFormat="1" ht="6.75" customHeight="1" x14ac:dyDescent="0.25">
      <c r="A49" s="37"/>
      <c r="B49" s="111"/>
      <c r="C49" s="39"/>
      <c r="D49" s="39"/>
      <c r="E49" s="39"/>
      <c r="F49" s="39"/>
      <c r="G49" s="39"/>
      <c r="H49" s="39"/>
      <c r="I49" s="39"/>
      <c r="J49" s="39"/>
      <c r="K49" s="39"/>
      <c r="L49" s="889">
        <f t="shared" si="1"/>
        <v>0</v>
      </c>
      <c r="M49" s="828"/>
      <c r="N49" s="748"/>
      <c r="O49" s="748"/>
      <c r="P49" s="748"/>
    </row>
    <row r="50" spans="1:16" s="183" customFormat="1" ht="15.75" x14ac:dyDescent="0.25">
      <c r="A50" s="27">
        <v>614000</v>
      </c>
      <c r="B50" s="172" t="s">
        <v>178</v>
      </c>
      <c r="C50" s="78">
        <f t="shared" ref="C50" si="18">C51+C56+C62+C81+C85+C88</f>
        <v>3488494</v>
      </c>
      <c r="D50" s="78">
        <f t="shared" ref="D50:I50" si="19">D51+D56+D62+D81+D85+D88</f>
        <v>3777271</v>
      </c>
      <c r="E50" s="78">
        <f t="shared" si="19"/>
        <v>3916461.4</v>
      </c>
      <c r="F50" s="78">
        <f t="shared" si="19"/>
        <v>0</v>
      </c>
      <c r="G50" s="78">
        <f t="shared" si="19"/>
        <v>154270</v>
      </c>
      <c r="H50" s="78">
        <f t="shared" si="19"/>
        <v>153000</v>
      </c>
      <c r="I50" s="78">
        <f t="shared" si="19"/>
        <v>4223731.4000000004</v>
      </c>
      <c r="J50" s="78">
        <f t="shared" ref="J50:K50" si="20">J51+J56+J62+J81+J85+J88</f>
        <v>4104580</v>
      </c>
      <c r="K50" s="78">
        <f t="shared" si="20"/>
        <v>4211580</v>
      </c>
      <c r="L50" s="889">
        <f t="shared" si="1"/>
        <v>446460.40000000037</v>
      </c>
      <c r="M50" s="828">
        <f>(3330070-1368390)/7622000*100</f>
        <v>25.737076882707949</v>
      </c>
      <c r="N50" s="748"/>
      <c r="O50" s="748"/>
      <c r="P50" s="748"/>
    </row>
    <row r="51" spans="1:16" s="183" customFormat="1" ht="15.75" x14ac:dyDescent="0.25">
      <c r="A51" s="37">
        <v>614100</v>
      </c>
      <c r="B51" s="111" t="s">
        <v>27</v>
      </c>
      <c r="C51" s="39">
        <f t="shared" ref="C51" si="21">C52+C53+C54+C55</f>
        <v>1344981</v>
      </c>
      <c r="D51" s="39">
        <f t="shared" ref="D51:J51" si="22">D52+D53+D54+D55</f>
        <v>1091200</v>
      </c>
      <c r="E51" s="39">
        <f t="shared" si="22"/>
        <v>1301300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1301300</v>
      </c>
      <c r="J51" s="876">
        <f t="shared" si="22"/>
        <v>1276860</v>
      </c>
      <c r="K51" s="876">
        <f t="shared" ref="K51" si="23">K52+K53+K54+K55</f>
        <v>1364860</v>
      </c>
      <c r="L51" s="889">
        <f t="shared" si="1"/>
        <v>210100</v>
      </c>
      <c r="M51" s="828"/>
      <c r="N51" s="748"/>
      <c r="O51" s="748"/>
      <c r="P51" s="748"/>
    </row>
    <row r="52" spans="1:16" s="183" customFormat="1" ht="15.75" x14ac:dyDescent="0.25">
      <c r="A52" s="52">
        <v>614121</v>
      </c>
      <c r="B52" s="85" t="s">
        <v>279</v>
      </c>
      <c r="C52" s="96">
        <f>Korisnici!F183</f>
        <v>215355</v>
      </c>
      <c r="D52" s="96">
        <f>Korisnici!G183</f>
        <v>110000</v>
      </c>
      <c r="E52" s="96">
        <f>Korisnici!H183</f>
        <v>190000</v>
      </c>
      <c r="F52" s="96">
        <f>Korisnici!I183</f>
        <v>0</v>
      </c>
      <c r="G52" s="96">
        <f>Korisnici!J183</f>
        <v>0</v>
      </c>
      <c r="H52" s="96">
        <f>Korisnici!K183</f>
        <v>0</v>
      </c>
      <c r="I52" s="96">
        <f>Korisnici!L183</f>
        <v>190000</v>
      </c>
      <c r="J52" s="897">
        <f>Korisnici!M183</f>
        <v>210000</v>
      </c>
      <c r="K52" s="897">
        <f>Korisnici!N183</f>
        <v>210000</v>
      </c>
      <c r="L52" s="889">
        <f t="shared" si="1"/>
        <v>80000</v>
      </c>
      <c r="M52" s="828"/>
      <c r="N52" s="748"/>
      <c r="O52" s="748"/>
      <c r="P52" s="748"/>
    </row>
    <row r="53" spans="1:16" s="183" customFormat="1" ht="15.75" x14ac:dyDescent="0.25">
      <c r="A53" s="52">
        <v>614122</v>
      </c>
      <c r="B53" s="85" t="s">
        <v>280</v>
      </c>
      <c r="C53" s="105">
        <f>Korisnici!F173+3016</f>
        <v>574442</v>
      </c>
      <c r="D53" s="105">
        <f>Korisnici!G173</f>
        <v>519600</v>
      </c>
      <c r="E53" s="105">
        <f>Korisnici!H173</f>
        <v>551600</v>
      </c>
      <c r="F53" s="105">
        <f>Korisnici!I173</f>
        <v>0</v>
      </c>
      <c r="G53" s="105">
        <f>Korisnici!J173</f>
        <v>0</v>
      </c>
      <c r="H53" s="105">
        <f>Korisnici!K173</f>
        <v>0</v>
      </c>
      <c r="I53" s="105">
        <f>Korisnici!L173</f>
        <v>551600</v>
      </c>
      <c r="J53" s="105">
        <f>Korisnici!M173</f>
        <v>551600</v>
      </c>
      <c r="K53" s="105">
        <f>Korisnici!N173</f>
        <v>539600</v>
      </c>
      <c r="L53" s="889">
        <f t="shared" si="1"/>
        <v>32000</v>
      </c>
      <c r="M53" s="828"/>
      <c r="N53" s="748"/>
      <c r="O53" s="748"/>
      <c r="P53" s="748"/>
    </row>
    <row r="54" spans="1:16" s="183" customFormat="1" ht="15.75" x14ac:dyDescent="0.25">
      <c r="A54" s="52">
        <v>614124</v>
      </c>
      <c r="B54" s="85" t="s">
        <v>281</v>
      </c>
      <c r="C54" s="617">
        <f>Korisnici!F25</f>
        <v>148389</v>
      </c>
      <c r="D54" s="617">
        <f>Korisnici!G25</f>
        <v>0</v>
      </c>
      <c r="E54" s="96">
        <f>Korisnici!H25</f>
        <v>95000</v>
      </c>
      <c r="F54" s="96">
        <f>Korisnici!I25</f>
        <v>0</v>
      </c>
      <c r="G54" s="96">
        <f>Korisnici!J25</f>
        <v>0</v>
      </c>
      <c r="H54" s="96">
        <f>Korisnici!K25</f>
        <v>0</v>
      </c>
      <c r="I54" s="617">
        <f>Korisnici!L25</f>
        <v>95000</v>
      </c>
      <c r="J54" s="920">
        <f>Korisnici!M25</f>
        <v>0</v>
      </c>
      <c r="K54" s="920">
        <f>Korisnici!N25</f>
        <v>100000</v>
      </c>
      <c r="L54" s="889">
        <f t="shared" si="1"/>
        <v>95000</v>
      </c>
      <c r="M54" s="828"/>
      <c r="N54" s="748"/>
      <c r="O54" s="748"/>
      <c r="P54" s="748"/>
    </row>
    <row r="55" spans="1:16" s="183" customFormat="1" ht="15.75" x14ac:dyDescent="0.25">
      <c r="A55" s="52">
        <v>614181</v>
      </c>
      <c r="B55" s="85" t="s">
        <v>282</v>
      </c>
      <c r="C55" s="96">
        <f>Korisnici!F232</f>
        <v>406795</v>
      </c>
      <c r="D55" s="96">
        <f>Korisnici!G232</f>
        <v>461600</v>
      </c>
      <c r="E55" s="96">
        <f>Korisnici!H232</f>
        <v>464700</v>
      </c>
      <c r="F55" s="96">
        <f>Korisnici!I232</f>
        <v>0</v>
      </c>
      <c r="G55" s="96">
        <f>Korisnici!J232</f>
        <v>0</v>
      </c>
      <c r="H55" s="96">
        <f>Korisnici!K232</f>
        <v>0</v>
      </c>
      <c r="I55" s="96">
        <f>Korisnici!L232</f>
        <v>464700</v>
      </c>
      <c r="J55" s="897">
        <f>Korisnici!M232</f>
        <v>515260</v>
      </c>
      <c r="K55" s="897">
        <f>Korisnici!N232</f>
        <v>515260</v>
      </c>
      <c r="L55" s="889">
        <f t="shared" si="1"/>
        <v>3100</v>
      </c>
      <c r="M55" s="828"/>
      <c r="N55" s="748"/>
      <c r="O55" s="748"/>
      <c r="P55" s="748"/>
    </row>
    <row r="56" spans="1:16" s="183" customFormat="1" ht="15.75" x14ac:dyDescent="0.25">
      <c r="A56" s="37">
        <v>614200</v>
      </c>
      <c r="B56" s="111" t="s">
        <v>28</v>
      </c>
      <c r="C56" s="39">
        <f t="shared" ref="C56" si="24">C57+C58+C59+C60+C61</f>
        <v>266208</v>
      </c>
      <c r="D56" s="39">
        <f t="shared" ref="D56:J56" si="25">D57+D58+D59+D60+D61</f>
        <v>262000</v>
      </c>
      <c r="E56" s="39">
        <f t="shared" si="25"/>
        <v>187300</v>
      </c>
      <c r="F56" s="39">
        <f t="shared" si="25"/>
        <v>0</v>
      </c>
      <c r="G56" s="39">
        <f t="shared" si="25"/>
        <v>0</v>
      </c>
      <c r="H56" s="39">
        <f t="shared" si="25"/>
        <v>115000</v>
      </c>
      <c r="I56" s="39">
        <f t="shared" si="25"/>
        <v>302300</v>
      </c>
      <c r="J56" s="876">
        <f t="shared" si="25"/>
        <v>327300</v>
      </c>
      <c r="K56" s="876">
        <f t="shared" ref="K56" si="26">K57+K58+K59+K60+K61</f>
        <v>327300</v>
      </c>
      <c r="L56" s="889">
        <f t="shared" si="1"/>
        <v>40300</v>
      </c>
      <c r="M56" s="828"/>
      <c r="N56" s="748"/>
      <c r="O56" s="748"/>
      <c r="P56" s="748"/>
    </row>
    <row r="57" spans="1:16" s="183" customFormat="1" ht="42" customHeight="1" x14ac:dyDescent="0.25">
      <c r="A57" s="52">
        <v>614232</v>
      </c>
      <c r="B57" s="86" t="s">
        <v>188</v>
      </c>
      <c r="C57" s="96">
        <f>Korisnici!F243+Korisnici!F244+Korisnici!F245+Korisnici!F246+Korisnici!F247</f>
        <v>100073</v>
      </c>
      <c r="D57" s="96">
        <f>Korisnici!G243+Korisnici!G244+Korisnici!G245+Korisnici!G246+Korisnici!G247</f>
        <v>80000</v>
      </c>
      <c r="E57" s="96">
        <f>Korisnici!H243+Korisnici!H244+Korisnici!H245+Korisnici!H246+Korisnici!H247</f>
        <v>0</v>
      </c>
      <c r="F57" s="96">
        <f>Korisnici!I243+Korisnici!I244+Korisnici!I245+Korisnici!I246+Korisnici!I247</f>
        <v>0</v>
      </c>
      <c r="G57" s="96">
        <f>Korisnici!J243+Korisnici!J244+Korisnici!J245+Korisnici!J246+Korisnici!J247</f>
        <v>0</v>
      </c>
      <c r="H57" s="96">
        <f>Korisnici!K243+Korisnici!K244+Korisnici!K245+Korisnici!K246+Korisnici!K247</f>
        <v>80000</v>
      </c>
      <c r="I57" s="96">
        <f>Korisnici!L243+Korisnici!L244+Korisnici!L245+Korisnici!L246+Korisnici!L247</f>
        <v>80000</v>
      </c>
      <c r="J57" s="897">
        <f>Korisnici!M243+Korisnici!M244+Korisnici!M245+Korisnici!M246+Korisnici!M247</f>
        <v>110000</v>
      </c>
      <c r="K57" s="897">
        <f>Korisnici!N243+Korisnici!N244+Korisnici!N245+Korisnici!N246+Korisnici!N247</f>
        <v>110000</v>
      </c>
      <c r="L57" s="889">
        <f t="shared" si="1"/>
        <v>0</v>
      </c>
      <c r="M57" s="828"/>
      <c r="N57" s="748"/>
      <c r="O57" s="748"/>
      <c r="P57" s="748"/>
    </row>
    <row r="58" spans="1:16" s="183" customFormat="1" ht="15.75" x14ac:dyDescent="0.25">
      <c r="A58" s="52">
        <v>614234</v>
      </c>
      <c r="B58" s="49" t="s">
        <v>29</v>
      </c>
      <c r="C58" s="96">
        <f>Korisnici!F191+Korisnici!F192</f>
        <v>81450</v>
      </c>
      <c r="D58" s="96">
        <f>Korisnici!G191+Korisnici!G192</f>
        <v>82000</v>
      </c>
      <c r="E58" s="96">
        <f>Korisnici!H191+Korisnici!H192+Korisnici!H194</f>
        <v>90000</v>
      </c>
      <c r="F58" s="897">
        <f>Korisnici!I191+Korisnici!I192+Korisnici!I194</f>
        <v>0</v>
      </c>
      <c r="G58" s="897">
        <f>Korisnici!J191+Korisnici!J192+Korisnici!J194</f>
        <v>0</v>
      </c>
      <c r="H58" s="897">
        <f>Korisnici!K191+Korisnici!K192+Korisnici!K194</f>
        <v>0</v>
      </c>
      <c r="I58" s="897">
        <f>Korisnici!L191+Korisnici!L192+Korisnici!L194</f>
        <v>90000</v>
      </c>
      <c r="J58" s="897">
        <f>Korisnici!M191+Korisnici!M192+Korisnici!M194</f>
        <v>90000</v>
      </c>
      <c r="K58" s="897">
        <f>Korisnici!N191+Korisnici!N192+Korisnici!N194</f>
        <v>90000</v>
      </c>
      <c r="L58" s="889">
        <f t="shared" si="1"/>
        <v>8000</v>
      </c>
      <c r="M58" s="828"/>
      <c r="N58" s="748"/>
      <c r="O58" s="748"/>
      <c r="P58" s="748"/>
    </row>
    <row r="59" spans="1:16" s="183" customFormat="1" ht="15.75" x14ac:dyDescent="0.25">
      <c r="A59" s="52">
        <v>614253</v>
      </c>
      <c r="B59" s="49" t="s">
        <v>95</v>
      </c>
      <c r="C59" s="96">
        <f>Korisnici!F242+500</f>
        <v>40291</v>
      </c>
      <c r="D59" s="96">
        <f>Korisnici!G242</f>
        <v>35000</v>
      </c>
      <c r="E59" s="96">
        <f>Korisnici!H242</f>
        <v>0</v>
      </c>
      <c r="F59" s="96">
        <f>Korisnici!I242</f>
        <v>0</v>
      </c>
      <c r="G59" s="96">
        <f>Korisnici!J242</f>
        <v>0</v>
      </c>
      <c r="H59" s="96">
        <f>Korisnici!K242</f>
        <v>35000</v>
      </c>
      <c r="I59" s="96">
        <f>Korisnici!L242</f>
        <v>35000</v>
      </c>
      <c r="J59" s="897">
        <f>Korisnici!M242</f>
        <v>30000</v>
      </c>
      <c r="K59" s="897">
        <f>Korisnici!N242</f>
        <v>30000</v>
      </c>
      <c r="L59" s="889">
        <f t="shared" si="1"/>
        <v>0</v>
      </c>
      <c r="M59" s="828"/>
      <c r="N59" s="748"/>
      <c r="O59" s="748"/>
      <c r="P59" s="748"/>
    </row>
    <row r="60" spans="1:16" s="183" customFormat="1" ht="45.75" x14ac:dyDescent="0.25">
      <c r="A60" s="52">
        <v>614239</v>
      </c>
      <c r="B60" s="86" t="s">
        <v>301</v>
      </c>
      <c r="C60" s="96">
        <f>Korisnici!F195+Korisnici!F196+Korisnici!F241+Korisnici!F202+Korisnici!F193+3975</f>
        <v>44394</v>
      </c>
      <c r="D60" s="96">
        <f>Korisnici!G195+Korisnici!G196+Korisnici!G241+Korisnici!G202+Korisnici!G193</f>
        <v>60000</v>
      </c>
      <c r="E60" s="96">
        <f>Korisnici!H195+Korisnici!H196+Korisnici!H241+Korisnici!H202+Korisnici!H193</f>
        <v>92300</v>
      </c>
      <c r="F60" s="96">
        <f>Korisnici!I195+Korisnici!I196+Korisnici!I241+Korisnici!I202+Korisnici!I193</f>
        <v>0</v>
      </c>
      <c r="G60" s="96">
        <f>Korisnici!J195+Korisnici!J196+Korisnici!J241+Korisnici!J202+Korisnici!J193</f>
        <v>0</v>
      </c>
      <c r="H60" s="96">
        <f>Korisnici!K195+Korisnici!K196+Korisnici!K241+Korisnici!K202+Korisnici!K193</f>
        <v>0</v>
      </c>
      <c r="I60" s="96">
        <f>Korisnici!L195+Korisnici!L196+Korisnici!L241+Korisnici!L202+Korisnici!L193</f>
        <v>92300</v>
      </c>
      <c r="J60" s="897">
        <f>Korisnici!M195+Korisnici!M196+Korisnici!M241+Korisnici!M202+Korisnici!M193</f>
        <v>92300</v>
      </c>
      <c r="K60" s="897">
        <f>Korisnici!N195+Korisnici!N196+Korisnici!N241+Korisnici!N202+Korisnici!N193</f>
        <v>92300</v>
      </c>
      <c r="L60" s="889">
        <f t="shared" si="1"/>
        <v>32300</v>
      </c>
      <c r="M60" s="828"/>
      <c r="N60" s="748"/>
      <c r="O60" s="748"/>
      <c r="P60" s="748"/>
    </row>
    <row r="61" spans="1:16" s="183" customFormat="1" ht="45.75" x14ac:dyDescent="0.25">
      <c r="A61" s="273">
        <v>614241</v>
      </c>
      <c r="B61" s="44" t="s">
        <v>602</v>
      </c>
      <c r="C61" s="105">
        <f>Korisnici!F591</f>
        <v>0</v>
      </c>
      <c r="D61" s="105">
        <f>Korisnici!G591</f>
        <v>5000</v>
      </c>
      <c r="E61" s="105">
        <f>Korisnici!H591</f>
        <v>5000</v>
      </c>
      <c r="F61" s="105">
        <f>Korisnici!I591</f>
        <v>0</v>
      </c>
      <c r="G61" s="105">
        <f>Korisnici!J591</f>
        <v>0</v>
      </c>
      <c r="H61" s="105">
        <f>Korisnici!K591</f>
        <v>0</v>
      </c>
      <c r="I61" s="105">
        <f>Korisnici!L591</f>
        <v>5000</v>
      </c>
      <c r="J61" s="105">
        <f>Korisnici!M591</f>
        <v>5000</v>
      </c>
      <c r="K61" s="105">
        <f>Korisnici!N591</f>
        <v>5000</v>
      </c>
      <c r="L61" s="889">
        <f t="shared" si="1"/>
        <v>0</v>
      </c>
      <c r="M61" s="828"/>
      <c r="N61" s="748"/>
      <c r="O61" s="748"/>
      <c r="P61" s="748"/>
    </row>
    <row r="62" spans="1:16" s="183" customFormat="1" ht="15.75" x14ac:dyDescent="0.25">
      <c r="A62" s="37">
        <v>614300</v>
      </c>
      <c r="B62" s="111" t="s">
        <v>30</v>
      </c>
      <c r="C62" s="39">
        <f t="shared" ref="C62" si="27">SUM(C63:C80)</f>
        <v>1700650</v>
      </c>
      <c r="D62" s="39">
        <f t="shared" ref="D62:J62" si="28">SUM(D63:D80)</f>
        <v>2011971</v>
      </c>
      <c r="E62" s="39">
        <f t="shared" si="28"/>
        <v>2037861.4</v>
      </c>
      <c r="F62" s="39">
        <f t="shared" si="28"/>
        <v>0</v>
      </c>
      <c r="G62" s="39">
        <f t="shared" si="28"/>
        <v>154270</v>
      </c>
      <c r="H62" s="39">
        <f t="shared" si="28"/>
        <v>0</v>
      </c>
      <c r="I62" s="39">
        <f t="shared" si="28"/>
        <v>2192131.4</v>
      </c>
      <c r="J62" s="876">
        <f t="shared" si="28"/>
        <v>2275420</v>
      </c>
      <c r="K62" s="876">
        <f t="shared" ref="K62" si="29">SUM(K63:K80)</f>
        <v>2275420</v>
      </c>
      <c r="L62" s="889">
        <f t="shared" si="1"/>
        <v>180160.39999999991</v>
      </c>
      <c r="M62" s="828"/>
      <c r="N62" s="748"/>
      <c r="O62" s="748"/>
      <c r="P62" s="748"/>
    </row>
    <row r="63" spans="1:16" s="183" customFormat="1" ht="15.75" x14ac:dyDescent="0.25">
      <c r="A63" s="37">
        <v>614311</v>
      </c>
      <c r="B63" s="107" t="s">
        <v>205</v>
      </c>
      <c r="C63" s="39">
        <f>Korisnici!F306+Korisnici!F307+300</f>
        <v>115632</v>
      </c>
      <c r="D63" s="39">
        <f>Korisnici!G306+Korisnici!G307</f>
        <v>115380</v>
      </c>
      <c r="E63" s="39">
        <f>Korisnici!H306+Korisnici!H307</f>
        <v>115380</v>
      </c>
      <c r="F63" s="39">
        <f>Korisnici!I306+Korisnici!I307</f>
        <v>0</v>
      </c>
      <c r="G63" s="39">
        <f>Korisnici!J306+Korisnici!J307</f>
        <v>0</v>
      </c>
      <c r="H63" s="39">
        <f>Korisnici!K306+Korisnici!K307</f>
        <v>0</v>
      </c>
      <c r="I63" s="39">
        <f>Korisnici!L306+Korisnici!L307</f>
        <v>115380</v>
      </c>
      <c r="J63" s="876">
        <f>Korisnici!M306+Korisnici!M307</f>
        <v>117120</v>
      </c>
      <c r="K63" s="876">
        <f>Korisnici!N306+Korisnici!N307</f>
        <v>117120</v>
      </c>
      <c r="L63" s="889">
        <f t="shared" si="1"/>
        <v>0</v>
      </c>
      <c r="M63" s="828"/>
      <c r="N63" s="748"/>
      <c r="O63" s="748"/>
      <c r="P63" s="748"/>
    </row>
    <row r="64" spans="1:16" s="183" customFormat="1" ht="15.75" x14ac:dyDescent="0.25">
      <c r="A64" s="52">
        <v>614311</v>
      </c>
      <c r="B64" s="85" t="s">
        <v>206</v>
      </c>
      <c r="C64" s="96">
        <f>Korisnici!F248</f>
        <v>103263</v>
      </c>
      <c r="D64" s="96">
        <f>Korisnici!G248</f>
        <v>99500</v>
      </c>
      <c r="E64" s="96">
        <f>Korisnici!H248</f>
        <v>99500</v>
      </c>
      <c r="F64" s="96">
        <f>Korisnici!I248</f>
        <v>0</v>
      </c>
      <c r="G64" s="96">
        <f>Korisnici!J248</f>
        <v>0</v>
      </c>
      <c r="H64" s="96">
        <f>Korisnici!K248</f>
        <v>0</v>
      </c>
      <c r="I64" s="96">
        <f>Korisnici!L248</f>
        <v>99500</v>
      </c>
      <c r="J64" s="897">
        <f>Korisnici!M248</f>
        <v>99500</v>
      </c>
      <c r="K64" s="897">
        <f>Korisnici!N248</f>
        <v>99500</v>
      </c>
      <c r="L64" s="889">
        <f t="shared" si="1"/>
        <v>0</v>
      </c>
      <c r="M64" s="828"/>
      <c r="N64" s="748"/>
      <c r="O64" s="748"/>
      <c r="P64" s="748"/>
    </row>
    <row r="65" spans="1:16" s="183" customFormat="1" ht="29.25" customHeight="1" x14ac:dyDescent="0.25">
      <c r="A65" s="52">
        <v>614311</v>
      </c>
      <c r="B65" s="86" t="s">
        <v>419</v>
      </c>
      <c r="C65" s="617">
        <f>Korisnici!F261+Korisnici!F262</f>
        <v>58750</v>
      </c>
      <c r="D65" s="617">
        <f>Korisnici!G261+Korisnici!G262</f>
        <v>54500</v>
      </c>
      <c r="E65" s="96">
        <f>Korisnici!H262</f>
        <v>50000</v>
      </c>
      <c r="F65" s="96">
        <f>Korisnici!I262</f>
        <v>0</v>
      </c>
      <c r="G65" s="96">
        <f>Korisnici!J262</f>
        <v>0</v>
      </c>
      <c r="H65" s="96">
        <f>Korisnici!K262</f>
        <v>0</v>
      </c>
      <c r="I65" s="96">
        <f>Korisnici!L262</f>
        <v>50000</v>
      </c>
      <c r="J65" s="897">
        <f>Korisnici!M262</f>
        <v>50000</v>
      </c>
      <c r="K65" s="897">
        <f>Korisnici!N262</f>
        <v>50000</v>
      </c>
      <c r="L65" s="889">
        <f t="shared" si="1"/>
        <v>-4500</v>
      </c>
      <c r="M65" s="828"/>
      <c r="N65" s="748"/>
      <c r="O65" s="748"/>
      <c r="P65" s="748"/>
    </row>
    <row r="66" spans="1:16" s="183" customFormat="1" ht="15.75" x14ac:dyDescent="0.25">
      <c r="A66" s="52">
        <v>614311</v>
      </c>
      <c r="B66" s="49" t="s">
        <v>207</v>
      </c>
      <c r="C66" s="96">
        <f>Korisnici!F204</f>
        <v>14400</v>
      </c>
      <c r="D66" s="96">
        <f>Korisnici!G204</f>
        <v>15000</v>
      </c>
      <c r="E66" s="96">
        <f>Korisnici!H204</f>
        <v>20000</v>
      </c>
      <c r="F66" s="96">
        <f>Korisnici!I204</f>
        <v>0</v>
      </c>
      <c r="G66" s="96">
        <f>Korisnici!J204</f>
        <v>0</v>
      </c>
      <c r="H66" s="96">
        <f>Korisnici!K204</f>
        <v>0</v>
      </c>
      <c r="I66" s="96">
        <f>Korisnici!L204</f>
        <v>20000</v>
      </c>
      <c r="J66" s="897">
        <f>Korisnici!M204</f>
        <v>20000</v>
      </c>
      <c r="K66" s="897">
        <f>Korisnici!N204</f>
        <v>20000</v>
      </c>
      <c r="L66" s="889">
        <f t="shared" si="1"/>
        <v>5000</v>
      </c>
      <c r="M66" s="828"/>
      <c r="N66" s="748"/>
      <c r="O66" s="748"/>
      <c r="P66" s="748"/>
    </row>
    <row r="67" spans="1:16" s="183" customFormat="1" ht="15.75" x14ac:dyDescent="0.25">
      <c r="A67" s="52">
        <v>614311</v>
      </c>
      <c r="B67" s="49" t="s">
        <v>208</v>
      </c>
      <c r="C67" s="96">
        <f>Korisnici!F205</f>
        <v>10000</v>
      </c>
      <c r="D67" s="96">
        <f>Korisnici!G205</f>
        <v>10000</v>
      </c>
      <c r="E67" s="96">
        <f>Korisnici!H205</f>
        <v>10000</v>
      </c>
      <c r="F67" s="96">
        <f>Korisnici!I205</f>
        <v>0</v>
      </c>
      <c r="G67" s="96">
        <f>Korisnici!J205</f>
        <v>0</v>
      </c>
      <c r="H67" s="96">
        <f>Korisnici!K205</f>
        <v>0</v>
      </c>
      <c r="I67" s="96">
        <f>Korisnici!L205</f>
        <v>10000</v>
      </c>
      <c r="J67" s="897">
        <f>Korisnici!M205</f>
        <v>10000</v>
      </c>
      <c r="K67" s="897">
        <f>Korisnici!N205</f>
        <v>10000</v>
      </c>
      <c r="L67" s="889">
        <f t="shared" si="1"/>
        <v>0</v>
      </c>
      <c r="M67" s="828"/>
      <c r="N67" s="748"/>
      <c r="O67" s="748"/>
      <c r="P67" s="748"/>
    </row>
    <row r="68" spans="1:16" s="183" customFormat="1" ht="30.75" x14ac:dyDescent="0.25">
      <c r="A68" s="52">
        <v>614311</v>
      </c>
      <c r="B68" s="101" t="s">
        <v>209</v>
      </c>
      <c r="C68" s="96">
        <f>Korisnici!F206</f>
        <v>2000</v>
      </c>
      <c r="D68" s="96">
        <f>Korisnici!G206</f>
        <v>2000</v>
      </c>
      <c r="E68" s="96">
        <f>Korisnici!H206</f>
        <v>2000</v>
      </c>
      <c r="F68" s="96">
        <f>Korisnici!I206</f>
        <v>0</v>
      </c>
      <c r="G68" s="96">
        <f>Korisnici!J206</f>
        <v>0</v>
      </c>
      <c r="H68" s="96">
        <f>Korisnici!K206</f>
        <v>0</v>
      </c>
      <c r="I68" s="96">
        <f>Korisnici!L206</f>
        <v>2000</v>
      </c>
      <c r="J68" s="897">
        <f>Korisnici!M206</f>
        <v>2000</v>
      </c>
      <c r="K68" s="897">
        <f>Korisnici!N206</f>
        <v>2000</v>
      </c>
      <c r="L68" s="889">
        <f t="shared" si="1"/>
        <v>0</v>
      </c>
      <c r="M68" s="828"/>
      <c r="N68" s="748"/>
      <c r="O68" s="748"/>
      <c r="P68" s="748"/>
    </row>
    <row r="69" spans="1:16" s="183" customFormat="1" ht="15.75" x14ac:dyDescent="0.25">
      <c r="A69" s="52">
        <v>614311</v>
      </c>
      <c r="B69" s="101" t="s">
        <v>210</v>
      </c>
      <c r="C69" s="96">
        <f>Korisnici!F207</f>
        <v>24850</v>
      </c>
      <c r="D69" s="96">
        <f>Korisnici!G207</f>
        <v>40000</v>
      </c>
      <c r="E69" s="96">
        <f>Korisnici!H207</f>
        <v>50000</v>
      </c>
      <c r="F69" s="96">
        <f>Korisnici!I207</f>
        <v>0</v>
      </c>
      <c r="G69" s="96">
        <f>Korisnici!J207</f>
        <v>0</v>
      </c>
      <c r="H69" s="96">
        <f>Korisnici!K207</f>
        <v>0</v>
      </c>
      <c r="I69" s="96">
        <f>Korisnici!L207</f>
        <v>50000</v>
      </c>
      <c r="J69" s="897">
        <f>Korisnici!M207</f>
        <v>50000</v>
      </c>
      <c r="K69" s="897">
        <f>Korisnici!N207</f>
        <v>50000</v>
      </c>
      <c r="L69" s="889">
        <f t="shared" si="1"/>
        <v>10000</v>
      </c>
      <c r="M69" s="828"/>
      <c r="N69" s="748"/>
      <c r="O69" s="748"/>
      <c r="P69" s="748"/>
    </row>
    <row r="70" spans="1:16" s="183" customFormat="1" ht="15.75" x14ac:dyDescent="0.25">
      <c r="A70" s="52">
        <v>614324</v>
      </c>
      <c r="B70" s="441" t="s">
        <v>318</v>
      </c>
      <c r="C70" s="96">
        <f>Korisnici!F212</f>
        <v>23333</v>
      </c>
      <c r="D70" s="96">
        <f>Korisnici!G212</f>
        <v>20000</v>
      </c>
      <c r="E70" s="96">
        <f>Korisnici!H212</f>
        <v>30000</v>
      </c>
      <c r="F70" s="96">
        <f>Korisnici!I212</f>
        <v>0</v>
      </c>
      <c r="G70" s="96">
        <f>Korisnici!J212</f>
        <v>0</v>
      </c>
      <c r="H70" s="96">
        <f>Korisnici!K212</f>
        <v>0</v>
      </c>
      <c r="I70" s="96">
        <f>Korisnici!L212</f>
        <v>30000</v>
      </c>
      <c r="J70" s="897">
        <f>Korisnici!M212</f>
        <v>30000</v>
      </c>
      <c r="K70" s="897">
        <f>Korisnici!N212</f>
        <v>30000</v>
      </c>
      <c r="L70" s="889">
        <f t="shared" si="1"/>
        <v>10000</v>
      </c>
      <c r="M70" s="828"/>
      <c r="N70" s="748"/>
      <c r="O70" s="748"/>
      <c r="P70" s="748"/>
    </row>
    <row r="71" spans="1:16" s="183" customFormat="1" ht="30.75" customHeight="1" x14ac:dyDescent="0.25">
      <c r="A71" s="37">
        <v>614311</v>
      </c>
      <c r="B71" s="101" t="s">
        <v>903</v>
      </c>
      <c r="C71" s="96">
        <f>Korisnici!F209</f>
        <v>0</v>
      </c>
      <c r="D71" s="96">
        <f>Korisnici!G209</f>
        <v>0</v>
      </c>
      <c r="E71" s="96">
        <f>Korisnici!H209</f>
        <v>12000</v>
      </c>
      <c r="F71" s="96">
        <f>Korisnici!I209</f>
        <v>0</v>
      </c>
      <c r="G71" s="96">
        <f>Korisnici!J209</f>
        <v>0</v>
      </c>
      <c r="H71" s="96">
        <f>Korisnici!K209</f>
        <v>0</v>
      </c>
      <c r="I71" s="96">
        <f>Korisnici!L209</f>
        <v>12000</v>
      </c>
      <c r="J71" s="897">
        <f>Korisnici!M209</f>
        <v>12000</v>
      </c>
      <c r="K71" s="897">
        <f>Korisnici!N209</f>
        <v>12000</v>
      </c>
      <c r="L71" s="889">
        <f t="shared" si="1"/>
        <v>12000</v>
      </c>
      <c r="M71" s="828"/>
      <c r="N71" s="748"/>
      <c r="O71" s="748"/>
      <c r="P71" s="748"/>
    </row>
    <row r="72" spans="1:16" s="183" customFormat="1" ht="29.25" customHeight="1" x14ac:dyDescent="0.25">
      <c r="A72" s="52">
        <v>614311</v>
      </c>
      <c r="B72" s="101" t="s">
        <v>319</v>
      </c>
      <c r="C72" s="96">
        <f>Korisnici!F219</f>
        <v>3780</v>
      </c>
      <c r="D72" s="96">
        <f>Korisnici!G219</f>
        <v>5000</v>
      </c>
      <c r="E72" s="96">
        <f>Korisnici!H219</f>
        <v>8000</v>
      </c>
      <c r="F72" s="96">
        <f>Korisnici!I219</f>
        <v>0</v>
      </c>
      <c r="G72" s="96">
        <f>Korisnici!J219</f>
        <v>0</v>
      </c>
      <c r="H72" s="96">
        <f>Korisnici!K219</f>
        <v>0</v>
      </c>
      <c r="I72" s="96">
        <f>Korisnici!L219</f>
        <v>8000</v>
      </c>
      <c r="J72" s="897">
        <f>Korisnici!M219</f>
        <v>10000</v>
      </c>
      <c r="K72" s="897">
        <f>Korisnici!N219</f>
        <v>10000</v>
      </c>
      <c r="L72" s="889">
        <f t="shared" si="1"/>
        <v>3000</v>
      </c>
      <c r="M72" s="828"/>
      <c r="N72" s="748"/>
      <c r="O72" s="748"/>
      <c r="P72" s="748"/>
    </row>
    <row r="73" spans="1:16" s="183" customFormat="1" ht="60.75" x14ac:dyDescent="0.25">
      <c r="A73" s="37">
        <v>614311</v>
      </c>
      <c r="B73" s="107" t="s">
        <v>320</v>
      </c>
      <c r="C73" s="96">
        <f>Korisnici!F90+Korisnici!F264+1693</f>
        <v>43566</v>
      </c>
      <c r="D73" s="96">
        <f>Korisnici!G90+Korisnici!G264</f>
        <v>32500</v>
      </c>
      <c r="E73" s="96">
        <f>Korisnici!H90+Korisnici!H486</f>
        <v>32000</v>
      </c>
      <c r="F73" s="96">
        <f>Korisnici!I90+Korisnici!I486</f>
        <v>0</v>
      </c>
      <c r="G73" s="96">
        <f>Korisnici!J90+Korisnici!J486</f>
        <v>0</v>
      </c>
      <c r="H73" s="96">
        <f>Korisnici!K90+Korisnici!K486</f>
        <v>0</v>
      </c>
      <c r="I73" s="96">
        <f>Korisnici!L90+Korisnici!L486</f>
        <v>32000</v>
      </c>
      <c r="J73" s="897">
        <f>Korisnici!M90+Korisnici!M486</f>
        <v>22000</v>
      </c>
      <c r="K73" s="897">
        <f>Korisnici!N90+Korisnici!N486</f>
        <v>22000</v>
      </c>
      <c r="L73" s="889">
        <f t="shared" si="1"/>
        <v>-500</v>
      </c>
      <c r="M73" s="828"/>
      <c r="N73" s="748"/>
      <c r="O73" s="748"/>
      <c r="P73" s="748"/>
    </row>
    <row r="74" spans="1:16" s="183" customFormat="1" ht="15.75" x14ac:dyDescent="0.25">
      <c r="A74" s="52">
        <v>614316</v>
      </c>
      <c r="B74" s="85" t="s">
        <v>321</v>
      </c>
      <c r="C74" s="96">
        <f>Korisnici!F220+Korisnici!F225+Korisnici!F229+Korisnici!F236</f>
        <v>1152203</v>
      </c>
      <c r="D74" s="96">
        <f>Korisnici!G220+Korisnici!G225+Korisnici!G229+Korisnici!G236</f>
        <v>1293850</v>
      </c>
      <c r="E74" s="96">
        <f>Korisnici!H220+Korisnici!H225+Korisnici!H229+Korisnici!H236</f>
        <v>1398781.4</v>
      </c>
      <c r="F74" s="96">
        <f>Korisnici!I220+Korisnici!I225+Korisnici!I229+Korisnici!I236</f>
        <v>0</v>
      </c>
      <c r="G74" s="96">
        <f>Korisnici!J220+Korisnici!J225+Korisnici!J229+Korisnici!J236</f>
        <v>0</v>
      </c>
      <c r="H74" s="96">
        <f>Korisnici!K220+Korisnici!K225+Korisnici!K229+Korisnici!K236</f>
        <v>0</v>
      </c>
      <c r="I74" s="96">
        <f>Korisnici!L220+Korisnici!L225+Korisnici!L229+Korisnici!L236</f>
        <v>1398781.4</v>
      </c>
      <c r="J74" s="897">
        <f>Korisnici!M220+Korisnici!M225+Korisnici!M229+Korisnici!M236</f>
        <v>1439300</v>
      </c>
      <c r="K74" s="897">
        <f>Korisnici!N220+Korisnici!N225+Korisnici!N229+Korisnici!N236</f>
        <v>1439300</v>
      </c>
      <c r="L74" s="889">
        <f t="shared" ref="L74:L145" si="30">I74-D74</f>
        <v>104931.39999999991</v>
      </c>
      <c r="M74" s="828"/>
      <c r="N74" s="748"/>
      <c r="O74" s="748"/>
      <c r="P74" s="748"/>
    </row>
    <row r="75" spans="1:16" s="183" customFormat="1" ht="15.75" x14ac:dyDescent="0.25">
      <c r="A75" s="52">
        <v>614323</v>
      </c>
      <c r="B75" s="49" t="s">
        <v>322</v>
      </c>
      <c r="C75" s="96">
        <f>Korisnici!F24</f>
        <v>0</v>
      </c>
      <c r="D75" s="96">
        <f>Korisnici!G24</f>
        <v>35000</v>
      </c>
      <c r="E75" s="96">
        <f>Korisnici!H24</f>
        <v>35000</v>
      </c>
      <c r="F75" s="96">
        <f>Korisnici!I24</f>
        <v>0</v>
      </c>
      <c r="G75" s="96">
        <f>Korisnici!J24</f>
        <v>0</v>
      </c>
      <c r="H75" s="96">
        <f>Korisnici!K24</f>
        <v>0</v>
      </c>
      <c r="I75" s="96">
        <f>Korisnici!L24</f>
        <v>35000</v>
      </c>
      <c r="J75" s="897">
        <f>Korisnici!M24</f>
        <v>35300</v>
      </c>
      <c r="K75" s="897">
        <f>Korisnici!N24</f>
        <v>35300</v>
      </c>
      <c r="L75" s="889">
        <f t="shared" si="30"/>
        <v>0</v>
      </c>
      <c r="M75" s="828"/>
      <c r="N75" s="748"/>
      <c r="O75" s="748"/>
      <c r="P75" s="748"/>
    </row>
    <row r="76" spans="1:16" s="183" customFormat="1" ht="72.75" customHeight="1" x14ac:dyDescent="0.25">
      <c r="A76" s="52">
        <v>614324</v>
      </c>
      <c r="B76" s="101" t="s">
        <v>323</v>
      </c>
      <c r="C76" s="105">
        <f>Korisnici!F91+Korisnici!F211+Korisnici!F214+Korisnici!F218+Korisnici!F213+1414</f>
        <v>36914</v>
      </c>
      <c r="D76" s="105">
        <f>Korisnici!G91+Korisnici!G211+Korisnici!G214+Korisnici!G218+Korisnici!G213</f>
        <v>67200</v>
      </c>
      <c r="E76" s="105">
        <f>Korisnici!H91+Korisnici!H190+Korisnici!H211+Korisnici!H213+Korisnici!H214+Korisnici!H218</f>
        <v>66200</v>
      </c>
      <c r="F76" s="105">
        <f>Korisnici!I91+Korisnici!I190+Korisnici!I211+Korisnici!I213+Korisnici!I214+Korisnici!I218</f>
        <v>0</v>
      </c>
      <c r="G76" s="105">
        <f>Korisnici!J91+Korisnici!J190+Korisnici!J211+Korisnici!J213+Korisnici!J214+Korisnici!J218</f>
        <v>0</v>
      </c>
      <c r="H76" s="105">
        <f>Korisnici!K91+Korisnici!K190+Korisnici!K211+Korisnici!K213+Korisnici!K214+Korisnici!K218</f>
        <v>0</v>
      </c>
      <c r="I76" s="105">
        <f>Korisnici!L91+Korisnici!L190+Korisnici!L211+Korisnici!L213+Korisnici!L214+Korisnici!L218</f>
        <v>66200</v>
      </c>
      <c r="J76" s="105">
        <f>Korisnici!M91+Korisnici!M190+Korisnici!M211+Korisnici!M213+Korisnici!M214+Korisnici!M218</f>
        <v>62200</v>
      </c>
      <c r="K76" s="105">
        <f>Korisnici!N91+Korisnici!N190+Korisnici!N211+Korisnici!N213+Korisnici!N214+Korisnici!N218</f>
        <v>62200</v>
      </c>
      <c r="L76" s="889">
        <f t="shared" si="30"/>
        <v>-1000</v>
      </c>
      <c r="M76" s="828"/>
      <c r="N76" s="748"/>
      <c r="O76" s="748"/>
      <c r="P76" s="748"/>
    </row>
    <row r="77" spans="1:16" s="183" customFormat="1" ht="15.75" x14ac:dyDescent="0.25">
      <c r="A77" s="52">
        <v>614322</v>
      </c>
      <c r="B77" s="245" t="s">
        <v>324</v>
      </c>
      <c r="C77" s="96">
        <f>Korisnici!F210</f>
        <v>2000</v>
      </c>
      <c r="D77" s="96">
        <f>Korisnici!G210</f>
        <v>6000</v>
      </c>
      <c r="E77" s="96">
        <f>Korisnici!H210</f>
        <v>4000</v>
      </c>
      <c r="F77" s="96">
        <f>Korisnici!I210</f>
        <v>0</v>
      </c>
      <c r="G77" s="96">
        <f>Korisnici!J210</f>
        <v>0</v>
      </c>
      <c r="H77" s="96">
        <f>Korisnici!K210</f>
        <v>0</v>
      </c>
      <c r="I77" s="96">
        <f>Korisnici!L210</f>
        <v>4000</v>
      </c>
      <c r="J77" s="897">
        <f>Korisnici!M210</f>
        <v>6000</v>
      </c>
      <c r="K77" s="897">
        <f>Korisnici!N210</f>
        <v>6000</v>
      </c>
      <c r="L77" s="889">
        <f t="shared" si="30"/>
        <v>-2000</v>
      </c>
      <c r="M77" s="828"/>
      <c r="N77" s="748"/>
      <c r="O77" s="748"/>
      <c r="P77" s="748"/>
    </row>
    <row r="78" spans="1:16" s="183" customFormat="1" ht="75.75" x14ac:dyDescent="0.25">
      <c r="A78" s="52">
        <v>614329</v>
      </c>
      <c r="B78" s="101" t="s">
        <v>327</v>
      </c>
      <c r="C78" s="96">
        <f>Korisnici!F237+Korisnici!F238+Korisnici!F239</f>
        <v>74000</v>
      </c>
      <c r="D78" s="96">
        <f>Korisnici!G237+Korisnici!G238+Korisnici!G239</f>
        <v>82000</v>
      </c>
      <c r="E78" s="96">
        <f>Korisnici!H237+Korisnici!H238+Korisnici!H239</f>
        <v>105000</v>
      </c>
      <c r="F78" s="96">
        <f>Korisnici!I237+Korisnici!I238+Korisnici!I239</f>
        <v>0</v>
      </c>
      <c r="G78" s="96">
        <f>Korisnici!J237+Korisnici!J238+Korisnici!J239</f>
        <v>0</v>
      </c>
      <c r="H78" s="96">
        <f>Korisnici!K237+Korisnici!K238+Korisnici!K239</f>
        <v>0</v>
      </c>
      <c r="I78" s="96">
        <f>Korisnici!L237+Korisnici!L238+Korisnici!L239</f>
        <v>105000</v>
      </c>
      <c r="J78" s="897">
        <f>Korisnici!M237+Korisnici!M238+Korisnici!M239</f>
        <v>125000</v>
      </c>
      <c r="K78" s="897">
        <f>Korisnici!N237+Korisnici!N238+Korisnici!N239</f>
        <v>125000</v>
      </c>
      <c r="L78" s="889">
        <f t="shared" si="30"/>
        <v>23000</v>
      </c>
      <c r="M78" s="828"/>
      <c r="N78" s="748"/>
      <c r="O78" s="748"/>
      <c r="P78" s="748"/>
    </row>
    <row r="79" spans="1:16" s="183" customFormat="1" ht="45.75" customHeight="1" x14ac:dyDescent="0.25">
      <c r="A79" s="184">
        <v>614329</v>
      </c>
      <c r="B79" s="163" t="s">
        <v>496</v>
      </c>
      <c r="C79" s="185">
        <f>Korisnici!F595+Korisnici!F592+Korisnici!F593</f>
        <v>35959</v>
      </c>
      <c r="D79" s="185">
        <f>Korisnici!G595+Korisnici!G592+Korisnici!G593</f>
        <v>34041</v>
      </c>
      <c r="E79" s="185">
        <f>Korisnici!H595+Korisnici!H592+Korisnici!H593</f>
        <v>0</v>
      </c>
      <c r="F79" s="185">
        <f>Korisnici!I595+Korisnici!I592+Korisnici!I593</f>
        <v>0</v>
      </c>
      <c r="G79" s="185">
        <f>Korisnici!J595+Korisnici!J592+Korisnici!J593</f>
        <v>34041</v>
      </c>
      <c r="H79" s="185">
        <f>Korisnici!K595+Korisnici!K592+Korisnici!K593</f>
        <v>0</v>
      </c>
      <c r="I79" s="185">
        <f>Korisnici!L595+Korisnici!L592+Korisnici!L593</f>
        <v>34041</v>
      </c>
      <c r="J79" s="185">
        <f>Korisnici!M595+Korisnici!M592+Korisnici!M593</f>
        <v>35000</v>
      </c>
      <c r="K79" s="185">
        <f>Korisnici!N595+Korisnici!N592+Korisnici!N593</f>
        <v>35000</v>
      </c>
      <c r="L79" s="889">
        <f t="shared" si="30"/>
        <v>0</v>
      </c>
      <c r="M79" s="828"/>
      <c r="N79" s="748"/>
      <c r="O79" s="748"/>
      <c r="P79" s="748"/>
    </row>
    <row r="80" spans="1:16" s="183" customFormat="1" ht="15.75" x14ac:dyDescent="0.25">
      <c r="A80" s="184">
        <v>614329</v>
      </c>
      <c r="B80" s="186" t="s">
        <v>325</v>
      </c>
      <c r="C80" s="185">
        <f>Korisnici!F594</f>
        <v>0</v>
      </c>
      <c r="D80" s="185">
        <f>Korisnici!G594</f>
        <v>100000</v>
      </c>
      <c r="E80" s="185">
        <f>Korisnici!H594</f>
        <v>0</v>
      </c>
      <c r="F80" s="185">
        <f>Korisnici!I594</f>
        <v>0</v>
      </c>
      <c r="G80" s="185">
        <f>Korisnici!J594</f>
        <v>120229</v>
      </c>
      <c r="H80" s="185">
        <f>Korisnici!K594</f>
        <v>0</v>
      </c>
      <c r="I80" s="185">
        <f>Korisnici!L594</f>
        <v>120229</v>
      </c>
      <c r="J80" s="185">
        <f>Korisnici!M594</f>
        <v>150000</v>
      </c>
      <c r="K80" s="185">
        <f>Korisnici!N594</f>
        <v>150000</v>
      </c>
      <c r="L80" s="889">
        <f t="shared" si="30"/>
        <v>20229</v>
      </c>
      <c r="M80" s="828"/>
      <c r="N80" s="748"/>
      <c r="O80" s="748"/>
      <c r="P80" s="748"/>
    </row>
    <row r="81" spans="1:16" s="183" customFormat="1" ht="15.75" x14ac:dyDescent="0.25">
      <c r="A81" s="37">
        <v>614400</v>
      </c>
      <c r="B81" s="111" t="s">
        <v>211</v>
      </c>
      <c r="C81" s="39">
        <f t="shared" ref="C81" si="31">C82+C83+C84</f>
        <v>139400</v>
      </c>
      <c r="D81" s="39">
        <f t="shared" ref="D81:I81" si="32">D82+D83+D84</f>
        <v>76100</v>
      </c>
      <c r="E81" s="39">
        <f t="shared" si="32"/>
        <v>54000</v>
      </c>
      <c r="F81" s="39">
        <f t="shared" si="32"/>
        <v>0</v>
      </c>
      <c r="G81" s="39">
        <f t="shared" si="32"/>
        <v>0</v>
      </c>
      <c r="H81" s="39">
        <f t="shared" si="32"/>
        <v>38000</v>
      </c>
      <c r="I81" s="39">
        <f t="shared" si="32"/>
        <v>92000</v>
      </c>
      <c r="J81" s="876">
        <f t="shared" ref="J81" si="33">J82+J83+J84</f>
        <v>84000</v>
      </c>
      <c r="K81" s="876">
        <f t="shared" ref="K81" si="34">K82+K83+K84</f>
        <v>84000</v>
      </c>
      <c r="L81" s="889">
        <f t="shared" si="30"/>
        <v>15900</v>
      </c>
      <c r="M81" s="828"/>
      <c r="N81" s="748"/>
      <c r="O81" s="748"/>
      <c r="P81" s="748"/>
    </row>
    <row r="82" spans="1:16" s="183" customFormat="1" ht="15.75" x14ac:dyDescent="0.25">
      <c r="A82" s="52">
        <v>614411</v>
      </c>
      <c r="B82" s="85" t="s">
        <v>193</v>
      </c>
      <c r="C82" s="96"/>
      <c r="D82" s="96"/>
      <c r="E82" s="96"/>
      <c r="F82" s="96"/>
      <c r="G82" s="96"/>
      <c r="H82" s="96"/>
      <c r="I82" s="96"/>
      <c r="J82" s="897"/>
      <c r="K82" s="897"/>
      <c r="L82" s="889">
        <f t="shared" si="30"/>
        <v>0</v>
      </c>
      <c r="M82" s="828"/>
      <c r="N82" s="748"/>
      <c r="O82" s="748"/>
      <c r="P82" s="748"/>
    </row>
    <row r="83" spans="1:16" s="320" customFormat="1" ht="15.75" x14ac:dyDescent="0.25">
      <c r="A83" s="52">
        <v>614414</v>
      </c>
      <c r="B83" s="85" t="s">
        <v>65</v>
      </c>
      <c r="C83" s="96">
        <f>Korisnici!F448</f>
        <v>115400</v>
      </c>
      <c r="D83" s="96">
        <f>Korisnici!G448</f>
        <v>52100</v>
      </c>
      <c r="E83" s="96">
        <f>Korisnici!H448</f>
        <v>30000</v>
      </c>
      <c r="F83" s="96">
        <f>Korisnici!I448</f>
        <v>0</v>
      </c>
      <c r="G83" s="96">
        <f>Korisnici!J448</f>
        <v>0</v>
      </c>
      <c r="H83" s="96">
        <f>Korisnici!K448</f>
        <v>38000</v>
      </c>
      <c r="I83" s="96">
        <f>Korisnici!L448</f>
        <v>68000</v>
      </c>
      <c r="J83" s="897">
        <f>Korisnici!M448</f>
        <v>60000</v>
      </c>
      <c r="K83" s="897">
        <f>Korisnici!N448</f>
        <v>60000</v>
      </c>
      <c r="L83" s="889">
        <f t="shared" si="30"/>
        <v>15900</v>
      </c>
      <c r="M83" s="828"/>
      <c r="N83" s="752"/>
      <c r="O83" s="752"/>
      <c r="P83" s="752"/>
    </row>
    <row r="84" spans="1:16" s="320" customFormat="1" ht="15.75" x14ac:dyDescent="0.25">
      <c r="A84" s="52">
        <v>614417</v>
      </c>
      <c r="B84" s="85" t="s">
        <v>64</v>
      </c>
      <c r="C84" s="96">
        <f>Korisnici!F265</f>
        <v>24000</v>
      </c>
      <c r="D84" s="897">
        <f>Korisnici!G265</f>
        <v>24000</v>
      </c>
      <c r="E84" s="96">
        <f>Korisnici!H753</f>
        <v>24000</v>
      </c>
      <c r="F84" s="96">
        <f>Korisnici!I753</f>
        <v>0</v>
      </c>
      <c r="G84" s="96">
        <f>Korisnici!J753</f>
        <v>0</v>
      </c>
      <c r="H84" s="96">
        <f>Korisnici!K753</f>
        <v>0</v>
      </c>
      <c r="I84" s="96">
        <f>Korisnici!L753</f>
        <v>24000</v>
      </c>
      <c r="J84" s="897">
        <f>Korisnici!M753</f>
        <v>24000</v>
      </c>
      <c r="K84" s="897">
        <f>Korisnici!N753</f>
        <v>24000</v>
      </c>
      <c r="L84" s="889">
        <f t="shared" si="30"/>
        <v>0</v>
      </c>
      <c r="M84" s="828"/>
      <c r="N84" s="752"/>
      <c r="O84" s="752"/>
      <c r="P84" s="752"/>
    </row>
    <row r="85" spans="1:16" s="320" customFormat="1" ht="30.75" x14ac:dyDescent="0.25">
      <c r="A85" s="52">
        <v>614500</v>
      </c>
      <c r="B85" s="86" t="s">
        <v>256</v>
      </c>
      <c r="C85" s="96">
        <f t="shared" ref="C85" si="35">C86+C87</f>
        <v>14400</v>
      </c>
      <c r="D85" s="96">
        <f t="shared" ref="D85:I85" si="36">D86+D87</f>
        <v>225000</v>
      </c>
      <c r="E85" s="96">
        <f t="shared" si="36"/>
        <v>225000</v>
      </c>
      <c r="F85" s="96">
        <f t="shared" si="36"/>
        <v>0</v>
      </c>
      <c r="G85" s="96">
        <f t="shared" si="36"/>
        <v>0</v>
      </c>
      <c r="H85" s="96">
        <f t="shared" si="36"/>
        <v>0</v>
      </c>
      <c r="I85" s="96">
        <f t="shared" si="36"/>
        <v>225000</v>
      </c>
      <c r="J85" s="897">
        <f t="shared" ref="J85" si="37">J86+J87</f>
        <v>30000</v>
      </c>
      <c r="K85" s="897">
        <f t="shared" ref="K85" si="38">K86+K87</f>
        <v>30000</v>
      </c>
      <c r="L85" s="889">
        <f t="shared" si="30"/>
        <v>0</v>
      </c>
      <c r="M85" s="828"/>
      <c r="N85" s="752"/>
      <c r="O85" s="752"/>
      <c r="P85" s="752"/>
    </row>
    <row r="86" spans="1:16" s="320" customFormat="1" ht="30.75" x14ac:dyDescent="0.25">
      <c r="A86" s="52">
        <v>614530</v>
      </c>
      <c r="B86" s="86" t="s">
        <v>255</v>
      </c>
      <c r="C86" s="96">
        <f>Korisnici!F452+Korisnici!F453+Korisnici!F454</f>
        <v>14400</v>
      </c>
      <c r="D86" s="96">
        <f>Korisnici!G452+Korisnici!G453+Korisnici!G454</f>
        <v>25000</v>
      </c>
      <c r="E86" s="96">
        <f>Korisnici!H452+Korisnici!H453+Korisnici!H454</f>
        <v>25000</v>
      </c>
      <c r="F86" s="96">
        <f>Korisnici!I452+Korisnici!I453+Korisnici!I454</f>
        <v>0</v>
      </c>
      <c r="G86" s="96">
        <f>Korisnici!J452+Korisnici!J453+Korisnici!J454</f>
        <v>0</v>
      </c>
      <c r="H86" s="96">
        <f>Korisnici!K452+Korisnici!K453+Korisnici!K454</f>
        <v>0</v>
      </c>
      <c r="I86" s="96">
        <f>Korisnici!L452+Korisnici!L453+Korisnici!L454</f>
        <v>25000</v>
      </c>
      <c r="J86" s="897">
        <f>Korisnici!M452+Korisnici!M453+Korisnici!M454</f>
        <v>30000</v>
      </c>
      <c r="K86" s="897">
        <f>Korisnici!N452+Korisnici!N453+Korisnici!N454</f>
        <v>30000</v>
      </c>
      <c r="L86" s="889">
        <f t="shared" si="30"/>
        <v>0</v>
      </c>
      <c r="M86" s="828"/>
      <c r="N86" s="752"/>
      <c r="O86" s="752"/>
      <c r="P86" s="752"/>
    </row>
    <row r="87" spans="1:16" s="320" customFormat="1" ht="18" customHeight="1" x14ac:dyDescent="0.25">
      <c r="A87" s="273">
        <v>614511</v>
      </c>
      <c r="B87" s="101" t="s">
        <v>928</v>
      </c>
      <c r="C87" s="105">
        <f>Korisnici!F754</f>
        <v>0</v>
      </c>
      <c r="D87" s="105">
        <f>Korisnici!G266</f>
        <v>200000</v>
      </c>
      <c r="E87" s="105">
        <f>Korisnici!H754</f>
        <v>200000</v>
      </c>
      <c r="F87" s="105">
        <f>Korisnici!I754</f>
        <v>0</v>
      </c>
      <c r="G87" s="105">
        <f>Korisnici!J754</f>
        <v>0</v>
      </c>
      <c r="H87" s="105">
        <f>Korisnici!K754</f>
        <v>0</v>
      </c>
      <c r="I87" s="105">
        <f>Korisnici!L754</f>
        <v>200000</v>
      </c>
      <c r="J87" s="105">
        <f>Korisnici!M754</f>
        <v>0</v>
      </c>
      <c r="K87" s="105">
        <f>Korisnici!N754</f>
        <v>0</v>
      </c>
      <c r="L87" s="889">
        <f t="shared" si="30"/>
        <v>0</v>
      </c>
      <c r="M87" s="828"/>
      <c r="N87" s="752"/>
      <c r="O87" s="752"/>
      <c r="P87" s="752"/>
    </row>
    <row r="88" spans="1:16" s="183" customFormat="1" ht="30.75" x14ac:dyDescent="0.25">
      <c r="A88" s="37">
        <v>614800</v>
      </c>
      <c r="B88" s="107" t="s">
        <v>240</v>
      </c>
      <c r="C88" s="39">
        <f>Korisnici!F92+Korisnici!F93+Korisnici!F128+Korisnici!F263+Korisnici!F308+Korisnici!F455+Korisnici!F488+Korisnici!F520+Korisnici!F596+Korisnici!F805</f>
        <v>22855</v>
      </c>
      <c r="D88" s="39">
        <f>Korisnici!G92+Korisnici!G93+Korisnici!G128+Korisnici!G263+Korisnici!G308+Korisnici!G455+Korisnici!G488+Korisnici!G520+Korisnici!G596+Korisnici!G805</f>
        <v>111000</v>
      </c>
      <c r="E88" s="39">
        <f>Korisnici!H92+Korisnici!H93+Korisnici!H128+Korisnici!H263+Korisnici!H308+Korisnici!H455+Korisnici!H488+Korisnici!H520+Korisnici!H596+Korisnici!H679+Korisnici!H755+Korisnici!H805</f>
        <v>111000</v>
      </c>
      <c r="F88" s="876">
        <f>Korisnici!I92+Korisnici!I93+Korisnici!I128+Korisnici!I263+Korisnici!I308+Korisnici!I455+Korisnici!I488+Korisnici!I520+Korisnici!I596+Korisnici!I755+Korisnici!I805</f>
        <v>0</v>
      </c>
      <c r="G88" s="876">
        <f>Korisnici!J92+Korisnici!J93+Korisnici!J128+Korisnici!J263+Korisnici!J308+Korisnici!J455+Korisnici!J488+Korisnici!J520+Korisnici!J596+Korisnici!J755+Korisnici!J805</f>
        <v>0</v>
      </c>
      <c r="H88" s="876">
        <f>Korisnici!K92+Korisnici!K93+Korisnici!K128+Korisnici!K263+Korisnici!K308+Korisnici!K455+Korisnici!K488+Korisnici!K520+Korisnici!K596+Korisnici!K755+Korisnici!K805</f>
        <v>0</v>
      </c>
      <c r="I88" s="876">
        <f>Korisnici!L92+Korisnici!L93+Korisnici!L128+Korisnici!L263+Korisnici!L308+Korisnici!L455+Korisnici!L488+Korisnici!L520+Korisnici!L596+Korisnici!L679+Korisnici!L755+Korisnici!L805</f>
        <v>111000</v>
      </c>
      <c r="J88" s="876">
        <f>Korisnici!M92+Korisnici!M93+Korisnici!M128+Korisnici!M263+Korisnici!M308+Korisnici!M455+Korisnici!M488+Korisnici!M520+Korisnici!M596+Korisnici!M679+Korisnici!M755+Korisnici!M805</f>
        <v>111000</v>
      </c>
      <c r="K88" s="876">
        <f>Korisnici!N92+Korisnici!N93+Korisnici!N128+Korisnici!N263+Korisnici!N308+Korisnici!N455+Korisnici!N488+Korisnici!N520+Korisnici!N596+Korisnici!N679+Korisnici!N755+Korisnici!N805</f>
        <v>130000</v>
      </c>
      <c r="L88" s="889">
        <f t="shared" si="30"/>
        <v>0</v>
      </c>
      <c r="M88" s="39"/>
      <c r="N88" s="741"/>
      <c r="O88" s="741"/>
      <c r="P88" s="748"/>
    </row>
    <row r="89" spans="1:16" s="183" customFormat="1" ht="15.75" x14ac:dyDescent="0.25">
      <c r="A89" s="37">
        <v>614817</v>
      </c>
      <c r="B89" s="85" t="s">
        <v>143</v>
      </c>
      <c r="C89" s="39">
        <f>Korisnici!F805</f>
        <v>600</v>
      </c>
      <c r="D89" s="39">
        <f>Korisnici!G805</f>
        <v>50000</v>
      </c>
      <c r="E89" s="39">
        <f>Korisnici!H805</f>
        <v>50000</v>
      </c>
      <c r="F89" s="39">
        <f>Korisnici!I805</f>
        <v>0</v>
      </c>
      <c r="G89" s="39">
        <f>Korisnici!J805</f>
        <v>0</v>
      </c>
      <c r="H89" s="39">
        <f>Korisnici!K805</f>
        <v>0</v>
      </c>
      <c r="I89" s="39">
        <f>Korisnici!L805</f>
        <v>50000</v>
      </c>
      <c r="J89" s="876">
        <f>Korisnici!M805</f>
        <v>50000</v>
      </c>
      <c r="K89" s="876">
        <f>Korisnici!N805</f>
        <v>50000</v>
      </c>
      <c r="L89" s="889">
        <f t="shared" si="30"/>
        <v>0</v>
      </c>
      <c r="M89" s="828"/>
      <c r="N89" s="748"/>
      <c r="O89" s="748"/>
      <c r="P89" s="748"/>
    </row>
    <row r="90" spans="1:16" s="320" customFormat="1" ht="15.75" x14ac:dyDescent="0.25">
      <c r="A90" s="52">
        <v>614819</v>
      </c>
      <c r="B90" s="276" t="s">
        <v>177</v>
      </c>
      <c r="C90" s="96">
        <f>Korisnici!F93</f>
        <v>10458</v>
      </c>
      <c r="D90" s="96">
        <f>Korisnici!G93</f>
        <v>25000</v>
      </c>
      <c r="E90" s="96">
        <f>Korisnici!H93+Korisnici!H679</f>
        <v>25000</v>
      </c>
      <c r="F90" s="96">
        <f>Korisnici!I93+Korisnici!I679</f>
        <v>0</v>
      </c>
      <c r="G90" s="96">
        <f>Korisnici!J93+Korisnici!J679</f>
        <v>0</v>
      </c>
      <c r="H90" s="96">
        <f>Korisnici!K93+Korisnici!K679</f>
        <v>0</v>
      </c>
      <c r="I90" s="96">
        <f>Korisnici!L93+Korisnici!L679</f>
        <v>25000</v>
      </c>
      <c r="J90" s="897">
        <f>Korisnici!M93+Korisnici!M679</f>
        <v>25000</v>
      </c>
      <c r="K90" s="897">
        <f>Korisnici!N93+Korisnici!N679</f>
        <v>25000</v>
      </c>
      <c r="L90" s="889">
        <f t="shared" si="30"/>
        <v>0</v>
      </c>
      <c r="M90" s="828"/>
      <c r="N90" s="752"/>
      <c r="O90" s="752"/>
      <c r="P90" s="752"/>
    </row>
    <row r="91" spans="1:16" s="183" customFormat="1" ht="7.5" customHeight="1" x14ac:dyDescent="0.25">
      <c r="A91" s="37"/>
      <c r="B91" s="38"/>
      <c r="C91" s="93"/>
      <c r="D91" s="93"/>
      <c r="E91" s="93"/>
      <c r="F91" s="93"/>
      <c r="G91" s="93"/>
      <c r="H91" s="93"/>
      <c r="I91" s="93"/>
      <c r="J91" s="93"/>
      <c r="K91" s="93"/>
      <c r="L91" s="889">
        <f t="shared" si="30"/>
        <v>0</v>
      </c>
      <c r="M91" s="828"/>
      <c r="N91" s="748"/>
      <c r="O91" s="748"/>
      <c r="P91" s="748"/>
    </row>
    <row r="92" spans="1:16" s="183" customFormat="1" ht="30.75" x14ac:dyDescent="0.25">
      <c r="A92" s="54">
        <v>311112</v>
      </c>
      <c r="B92" s="177" t="s">
        <v>185</v>
      </c>
      <c r="L92" s="889">
        <f t="shared" si="30"/>
        <v>0</v>
      </c>
      <c r="M92" s="828"/>
      <c r="N92" s="748"/>
      <c r="O92" s="748"/>
      <c r="P92" s="748"/>
    </row>
    <row r="93" spans="1:16" s="183" customFormat="1" ht="15.75" x14ac:dyDescent="0.25">
      <c r="A93" s="109"/>
      <c r="B93" s="178"/>
      <c r="C93" s="40"/>
      <c r="D93" s="40"/>
      <c r="E93" s="40"/>
      <c r="F93" s="40"/>
      <c r="G93" s="40"/>
      <c r="H93" s="40"/>
      <c r="I93" s="40"/>
      <c r="J93" s="40"/>
      <c r="K93" s="40"/>
      <c r="L93" s="889">
        <f t="shared" si="30"/>
        <v>0</v>
      </c>
      <c r="M93" s="828"/>
      <c r="N93" s="748"/>
      <c r="O93" s="748"/>
      <c r="P93" s="748"/>
    </row>
    <row r="94" spans="1:16" s="183" customFormat="1" ht="15.75" x14ac:dyDescent="0.25">
      <c r="A94" s="322">
        <v>615000</v>
      </c>
      <c r="B94" s="87" t="s">
        <v>183</v>
      </c>
      <c r="C94" s="78">
        <f t="shared" ref="C94:K94" si="39">C95+C100+C107+C108+C109+C110</f>
        <v>696857</v>
      </c>
      <c r="D94" s="78">
        <f t="shared" si="39"/>
        <v>1017792</v>
      </c>
      <c r="E94" s="78">
        <f t="shared" si="39"/>
        <v>115000</v>
      </c>
      <c r="F94" s="78">
        <f t="shared" si="39"/>
        <v>0</v>
      </c>
      <c r="G94" s="78">
        <f t="shared" si="39"/>
        <v>968512</v>
      </c>
      <c r="H94" s="78">
        <f t="shared" si="39"/>
        <v>95000</v>
      </c>
      <c r="I94" s="78">
        <f t="shared" si="39"/>
        <v>1178512</v>
      </c>
      <c r="J94" s="78">
        <f t="shared" si="39"/>
        <v>795000</v>
      </c>
      <c r="K94" s="78">
        <f t="shared" si="39"/>
        <v>795000</v>
      </c>
      <c r="L94" s="889">
        <f t="shared" si="30"/>
        <v>160720</v>
      </c>
      <c r="M94" s="828"/>
      <c r="N94" s="748"/>
      <c r="O94" s="748"/>
      <c r="P94" s="748"/>
    </row>
    <row r="95" spans="1:16" s="183" customFormat="1" ht="32.25" customHeight="1" x14ac:dyDescent="0.25">
      <c r="A95" s="128">
        <v>615200</v>
      </c>
      <c r="B95" s="139" t="s">
        <v>136</v>
      </c>
      <c r="C95" s="40">
        <f>C96+C98+C99</f>
        <v>122029</v>
      </c>
      <c r="D95" s="40">
        <f>D96+D98+D99</f>
        <v>145700</v>
      </c>
      <c r="E95" s="40">
        <f>E96+E98+E99</f>
        <v>70000</v>
      </c>
      <c r="F95" s="40">
        <f>F96+F98</f>
        <v>0</v>
      </c>
      <c r="G95" s="40">
        <f>G96+G98+G99</f>
        <v>0</v>
      </c>
      <c r="H95" s="40">
        <f>H96+H98+H99</f>
        <v>75000</v>
      </c>
      <c r="I95" s="40">
        <f>I96+I98+I99</f>
        <v>145000</v>
      </c>
      <c r="J95" s="877">
        <f>J96+J98+J99</f>
        <v>125000</v>
      </c>
      <c r="K95" s="877">
        <f>K96+K98+K99</f>
        <v>125000</v>
      </c>
      <c r="L95" s="889">
        <f t="shared" si="30"/>
        <v>-700</v>
      </c>
      <c r="M95" s="828"/>
      <c r="N95" s="748"/>
      <c r="O95" s="748"/>
      <c r="P95" s="748"/>
    </row>
    <row r="96" spans="1:16" s="183" customFormat="1" ht="45.75" customHeight="1" x14ac:dyDescent="0.25">
      <c r="A96" s="37">
        <v>615211</v>
      </c>
      <c r="B96" s="133" t="s">
        <v>427</v>
      </c>
      <c r="C96" s="39">
        <f>Korisnici!F269+Korisnici!F311</f>
        <v>73274</v>
      </c>
      <c r="D96" s="39">
        <f>Korisnici!G269+Korisnici!G311</f>
        <v>80000</v>
      </c>
      <c r="E96" s="39">
        <f>Korisnici!H269+Korisnici!H311</f>
        <v>40000</v>
      </c>
      <c r="F96" s="39">
        <f>Korisnici!I269+Korisnici!I311</f>
        <v>0</v>
      </c>
      <c r="G96" s="39">
        <f>Korisnici!J269+Korisnici!J311</f>
        <v>0</v>
      </c>
      <c r="H96" s="39">
        <f>Korisnici!K269+Korisnici!K311</f>
        <v>75000</v>
      </c>
      <c r="I96" s="39">
        <f>Korisnici!L269+Korisnici!L311</f>
        <v>115000</v>
      </c>
      <c r="J96" s="876">
        <f>Korisnici!M269+Korisnici!M311</f>
        <v>95000</v>
      </c>
      <c r="K96" s="876">
        <f>Korisnici!N269+Korisnici!N311</f>
        <v>95000</v>
      </c>
      <c r="L96" s="889">
        <f t="shared" si="30"/>
        <v>35000</v>
      </c>
      <c r="M96" s="828"/>
      <c r="N96" s="748"/>
      <c r="O96" s="748"/>
      <c r="P96" s="748"/>
    </row>
    <row r="97" spans="1:16" s="183" customFormat="1" ht="57" customHeight="1" x14ac:dyDescent="0.25">
      <c r="A97" s="1028">
        <v>615211</v>
      </c>
      <c r="B97" s="1029" t="s">
        <v>1239</v>
      </c>
      <c r="C97" s="1027"/>
      <c r="D97" s="1027"/>
      <c r="E97" s="1027">
        <f>Korisnici!H312</f>
        <v>20000</v>
      </c>
      <c r="F97" s="1027">
        <f>Korisnici!I312</f>
        <v>0</v>
      </c>
      <c r="G97" s="1027">
        <f>Korisnici!J312</f>
        <v>0</v>
      </c>
      <c r="H97" s="1027">
        <f>Korisnici!K312</f>
        <v>0</v>
      </c>
      <c r="I97" s="1027">
        <f>Korisnici!L312</f>
        <v>20000</v>
      </c>
      <c r="J97" s="1027">
        <f>Korisnici!M312</f>
        <v>0</v>
      </c>
      <c r="K97" s="1027">
        <f>Korisnici!N312</f>
        <v>0</v>
      </c>
      <c r="L97" s="1023"/>
      <c r="M97" s="828"/>
      <c r="N97" s="748"/>
      <c r="O97" s="748"/>
      <c r="P97" s="748"/>
    </row>
    <row r="98" spans="1:16" s="183" customFormat="1" ht="39.75" customHeight="1" x14ac:dyDescent="0.25">
      <c r="A98" s="100">
        <v>615211</v>
      </c>
      <c r="B98" s="632" t="s">
        <v>258</v>
      </c>
      <c r="C98" s="62">
        <f>Korisnici!F599</f>
        <v>0</v>
      </c>
      <c r="D98" s="62">
        <f>Korisnici!G599</f>
        <v>35700</v>
      </c>
      <c r="E98" s="62">
        <f>Korisnici!H599</f>
        <v>0</v>
      </c>
      <c r="F98" s="62">
        <f>Korisnici!I599</f>
        <v>0</v>
      </c>
      <c r="G98" s="62">
        <f>Korisnici!J599</f>
        <v>0</v>
      </c>
      <c r="H98" s="62">
        <f>Korisnici!K599</f>
        <v>0</v>
      </c>
      <c r="I98" s="62">
        <f>Korisnici!L599</f>
        <v>0</v>
      </c>
      <c r="J98" s="885">
        <f>Korisnici!M599</f>
        <v>0</v>
      </c>
      <c r="K98" s="885">
        <f>Korisnici!N599</f>
        <v>0</v>
      </c>
      <c r="L98" s="889">
        <f t="shared" si="30"/>
        <v>-35700</v>
      </c>
      <c r="M98" s="828"/>
      <c r="N98" s="748"/>
      <c r="O98" s="748"/>
      <c r="P98" s="748"/>
    </row>
    <row r="99" spans="1:16" s="183" customFormat="1" ht="45" customHeight="1" x14ac:dyDescent="0.25">
      <c r="A99" s="109">
        <v>615211</v>
      </c>
      <c r="B99" s="1032" t="s">
        <v>422</v>
      </c>
      <c r="C99" s="62">
        <f>Korisnici!F315</f>
        <v>48755</v>
      </c>
      <c r="D99" s="62">
        <f>Korisnici!G315</f>
        <v>30000</v>
      </c>
      <c r="E99" s="62">
        <f>Korisnici!H315</f>
        <v>30000</v>
      </c>
      <c r="F99" s="62">
        <f>Korisnici!I315</f>
        <v>0</v>
      </c>
      <c r="G99" s="62">
        <f>Korisnici!J315</f>
        <v>0</v>
      </c>
      <c r="H99" s="62">
        <f>Korisnici!K315</f>
        <v>0</v>
      </c>
      <c r="I99" s="62">
        <f>Korisnici!L315</f>
        <v>30000</v>
      </c>
      <c r="J99" s="885">
        <f>Korisnici!M315</f>
        <v>30000</v>
      </c>
      <c r="K99" s="885">
        <f>Korisnici!N315</f>
        <v>30000</v>
      </c>
      <c r="L99" s="889">
        <f t="shared" si="30"/>
        <v>0</v>
      </c>
      <c r="M99" s="828"/>
      <c r="N99" s="748"/>
      <c r="O99" s="748"/>
      <c r="P99" s="748"/>
    </row>
    <row r="100" spans="1:16" s="183" customFormat="1" ht="30" x14ac:dyDescent="0.25">
      <c r="A100" s="128">
        <v>615311</v>
      </c>
      <c r="B100" s="133" t="s">
        <v>212</v>
      </c>
      <c r="C100" s="39">
        <f>Korisnici!F316</f>
        <v>342496</v>
      </c>
      <c r="D100" s="39">
        <f>Korisnici!G316</f>
        <v>482913</v>
      </c>
      <c r="E100" s="39">
        <f>Korisnici!H316</f>
        <v>0</v>
      </c>
      <c r="F100" s="39">
        <f>Korisnici!I316</f>
        <v>0</v>
      </c>
      <c r="G100" s="39">
        <f>Korisnici!J316</f>
        <v>618716</v>
      </c>
      <c r="H100" s="39">
        <f>Korisnici!K316</f>
        <v>20000</v>
      </c>
      <c r="I100" s="39">
        <f>Korisnici!L316</f>
        <v>638716</v>
      </c>
      <c r="J100" s="876">
        <f>Korisnici!M316</f>
        <v>370000</v>
      </c>
      <c r="K100" s="876">
        <f>Korisnici!N316</f>
        <v>370000</v>
      </c>
      <c r="L100" s="889">
        <f t="shared" si="30"/>
        <v>155803</v>
      </c>
      <c r="M100" s="828"/>
      <c r="N100" s="748"/>
      <c r="O100" s="748"/>
      <c r="P100" s="748"/>
    </row>
    <row r="101" spans="1:16" s="183" customFormat="1" ht="28.5" x14ac:dyDescent="0.25">
      <c r="A101" s="1025">
        <v>615311</v>
      </c>
      <c r="B101" s="1026" t="s">
        <v>1240</v>
      </c>
      <c r="C101" s="1027"/>
      <c r="D101" s="1027"/>
      <c r="E101" s="1027"/>
      <c r="F101" s="1027"/>
      <c r="G101" s="1027">
        <f>Korisnici!J319</f>
        <v>5000</v>
      </c>
      <c r="H101" s="1027">
        <f>Korisnici!K319</f>
        <v>0</v>
      </c>
      <c r="I101" s="1027">
        <f>Korisnici!L319</f>
        <v>5000</v>
      </c>
      <c r="J101" s="1027">
        <f>Korisnici!M319</f>
        <v>0</v>
      </c>
      <c r="K101" s="1027">
        <f>Korisnici!N319</f>
        <v>0</v>
      </c>
      <c r="L101" s="889"/>
      <c r="M101" s="828"/>
      <c r="N101" s="748"/>
      <c r="O101" s="748"/>
      <c r="P101" s="748"/>
    </row>
    <row r="102" spans="1:16" s="183" customFormat="1" ht="28.5" x14ac:dyDescent="0.25">
      <c r="A102" s="1025">
        <v>615311</v>
      </c>
      <c r="B102" s="1026" t="s">
        <v>1241</v>
      </c>
      <c r="C102" s="1027"/>
      <c r="D102" s="1027"/>
      <c r="E102" s="1027"/>
      <c r="F102" s="1027"/>
      <c r="G102" s="1027">
        <f>Korisnici!J322</f>
        <v>5000</v>
      </c>
      <c r="H102" s="1027">
        <f>Korisnici!K322</f>
        <v>0</v>
      </c>
      <c r="I102" s="1027">
        <f>Korisnici!L322</f>
        <v>5000</v>
      </c>
      <c r="J102" s="1027">
        <f>Korisnici!M322</f>
        <v>0</v>
      </c>
      <c r="K102" s="1027">
        <f>Korisnici!N322</f>
        <v>0</v>
      </c>
      <c r="L102" s="889"/>
      <c r="M102" s="828"/>
      <c r="N102" s="748"/>
      <c r="O102" s="748"/>
      <c r="P102" s="748"/>
    </row>
    <row r="103" spans="1:16" s="183" customFormat="1" ht="28.5" x14ac:dyDescent="0.25">
      <c r="A103" s="1025">
        <v>615311</v>
      </c>
      <c r="B103" s="1026" t="s">
        <v>1243</v>
      </c>
      <c r="C103" s="1027"/>
      <c r="D103" s="1027"/>
      <c r="E103" s="1027"/>
      <c r="F103" s="1027"/>
      <c r="G103" s="1027">
        <f>Korisnici!J326</f>
        <v>34696</v>
      </c>
      <c r="H103" s="1027">
        <f>Korisnici!K326</f>
        <v>20000</v>
      </c>
      <c r="I103" s="1027">
        <f>Korisnici!L326</f>
        <v>54696</v>
      </c>
      <c r="J103" s="1027"/>
      <c r="K103" s="1027"/>
      <c r="L103" s="889"/>
      <c r="M103" s="828"/>
      <c r="N103" s="748"/>
      <c r="O103" s="748"/>
      <c r="P103" s="748"/>
    </row>
    <row r="104" spans="1:16" s="183" customFormat="1" ht="28.5" x14ac:dyDescent="0.25">
      <c r="A104" s="1025">
        <v>615311</v>
      </c>
      <c r="B104" s="1026" t="s">
        <v>1242</v>
      </c>
      <c r="C104" s="1027"/>
      <c r="D104" s="1027"/>
      <c r="E104" s="1027"/>
      <c r="F104" s="1027"/>
      <c r="G104" s="1027">
        <f>Korisnici!J330</f>
        <v>7020</v>
      </c>
      <c r="H104" s="1027">
        <f>Korisnici!K330</f>
        <v>0</v>
      </c>
      <c r="I104" s="1027">
        <f>Korisnici!L330</f>
        <v>7020</v>
      </c>
      <c r="J104" s="1027">
        <f>Korisnici!M330</f>
        <v>0</v>
      </c>
      <c r="K104" s="1027">
        <f>Korisnici!N330</f>
        <v>0</v>
      </c>
      <c r="L104" s="889"/>
      <c r="M104" s="828"/>
      <c r="N104" s="748"/>
      <c r="O104" s="748"/>
      <c r="P104" s="748"/>
    </row>
    <row r="105" spans="1:16" s="183" customFormat="1" ht="28.5" x14ac:dyDescent="0.25">
      <c r="A105" s="1025">
        <v>615311</v>
      </c>
      <c r="B105" s="1026" t="s">
        <v>1244</v>
      </c>
      <c r="C105" s="1027"/>
      <c r="D105" s="1027"/>
      <c r="E105" s="1027"/>
      <c r="F105" s="1027"/>
      <c r="G105" s="1027">
        <f>Korisnici!J335</f>
        <v>5000</v>
      </c>
      <c r="H105" s="1027">
        <f>Korisnici!K335</f>
        <v>0</v>
      </c>
      <c r="I105" s="1027">
        <f>Korisnici!L335</f>
        <v>5000</v>
      </c>
      <c r="J105" s="1027">
        <f>Korisnici!M335</f>
        <v>0</v>
      </c>
      <c r="K105" s="1027">
        <f>Korisnici!N335</f>
        <v>0</v>
      </c>
      <c r="L105" s="889"/>
      <c r="M105" s="828"/>
      <c r="N105" s="748"/>
      <c r="O105" s="748"/>
      <c r="P105" s="748"/>
    </row>
    <row r="106" spans="1:16" s="183" customFormat="1" ht="42.75" x14ac:dyDescent="0.25">
      <c r="A106" s="1025">
        <v>615311</v>
      </c>
      <c r="B106" s="1026" t="s">
        <v>1245</v>
      </c>
      <c r="C106" s="1027"/>
      <c r="D106" s="1027"/>
      <c r="E106" s="1027"/>
      <c r="F106" s="1027"/>
      <c r="G106" s="1027">
        <f>Korisnici!J339</f>
        <v>50000</v>
      </c>
      <c r="H106" s="1027">
        <f>Korisnici!K339</f>
        <v>0</v>
      </c>
      <c r="I106" s="1027">
        <f>Korisnici!L339</f>
        <v>50000</v>
      </c>
      <c r="J106" s="1027">
        <f>Korisnici!M339</f>
        <v>0</v>
      </c>
      <c r="K106" s="1027">
        <f>Korisnici!N339</f>
        <v>0</v>
      </c>
      <c r="L106" s="889"/>
      <c r="M106" s="828"/>
      <c r="N106" s="748"/>
      <c r="O106" s="748"/>
      <c r="P106" s="748"/>
    </row>
    <row r="107" spans="1:16" s="183" customFormat="1" ht="111.6" customHeight="1" x14ac:dyDescent="0.3">
      <c r="A107" s="37">
        <v>615311</v>
      </c>
      <c r="B107" s="133" t="s">
        <v>533</v>
      </c>
      <c r="C107" s="62">
        <f>Korisnici!F271+Korisnici!F275+Korisnici!F349+Korisnici!F350+Korisnici!F272+Korisnici!F273+Korisnici!F352+Korisnici!F353+Korisnici!F458</f>
        <v>83382</v>
      </c>
      <c r="D107" s="62">
        <f>Korisnici!G271+Korisnici!G275+Korisnici!G349+Korisnici!G350+Korisnici!G272+Korisnici!G273+Korisnici!G352+Korisnici!G353+Korisnici!G458</f>
        <v>81000</v>
      </c>
      <c r="E107" s="62">
        <f>Korisnici!H271+Korisnici!H272+Korisnici!H273+Korisnici!H274+Korisnici!H275+Korisnici!H349+Korisnici!H350+Korisnici!H352+Korisnici!H353+Korisnici!H356+Korisnici!H458+Korisnici!H276</f>
        <v>15000</v>
      </c>
      <c r="F107" s="62">
        <f>Korisnici!I271+Korisnici!I272+Korisnici!I273+Korisnici!I275+Korisnici!I349+Korisnici!I350+Korisnici!I352+Korisnici!I353+Korisnici!I458+Korisnici!I276</f>
        <v>0</v>
      </c>
      <c r="G107" s="62">
        <f>Korisnici!J271+Korisnici!J272+Korisnici!J273+Korisnici!J275+Korisnici!J349+Korisnici!J350+Korisnici!J352+Korisnici!J353+Korisnici!J356+Korisnici!J458+Korisnici!J276</f>
        <v>149796</v>
      </c>
      <c r="H107" s="62">
        <f>Korisnici!K271+Korisnici!K272+Korisnici!K273+Korisnici!K275+Korisnici!K349+Korisnici!K350+Korisnici!K352+Korisnici!K353+Korisnici!K458+Korisnici!K276</f>
        <v>0</v>
      </c>
      <c r="I107" s="62">
        <f>Korisnici!L271+Korisnici!L272+Korisnici!L273+Korisnici!L274+Korisnici!L275+Korisnici!L276+Korisnici!L349+Korisnici!L350+Korisnici!L352+Korisnici!L353+Korisnici!L356+Korisnici!L458</f>
        <v>164796</v>
      </c>
      <c r="J107" s="885">
        <f>Korisnici!M271+Korisnici!M272+Korisnici!M273+Korisnici!M274+Korisnici!M275+Korisnici!M276+Korisnici!M349+Korisnici!M350+Korisnici!M352+Korisnici!M353+Korisnici!M356+Korisnici!M458</f>
        <v>120000</v>
      </c>
      <c r="K107" s="885">
        <f>Korisnici!N271+Korisnici!N272+Korisnici!N273+Korisnici!N274+Korisnici!N275+Korisnici!N276+Korisnici!N349+Korisnici!N350+Korisnici!N352+Korisnici!N353+Korisnici!N356+Korisnici!N458</f>
        <v>120000</v>
      </c>
      <c r="L107" s="889">
        <f t="shared" si="30"/>
        <v>83796</v>
      </c>
      <c r="M107" s="830" t="s">
        <v>889</v>
      </c>
      <c r="N107" s="748"/>
      <c r="O107" s="748"/>
      <c r="P107" s="748"/>
    </row>
    <row r="108" spans="1:16" s="183" customFormat="1" ht="30" customHeight="1" x14ac:dyDescent="0.25">
      <c r="A108" s="898">
        <v>615311</v>
      </c>
      <c r="B108" s="458" t="s">
        <v>420</v>
      </c>
      <c r="C108" s="885">
        <f>Korisnici!F270</f>
        <v>28950</v>
      </c>
      <c r="D108" s="885">
        <f>Korisnici!G270</f>
        <v>30000</v>
      </c>
      <c r="E108" s="885">
        <f>Korisnici!H270</f>
        <v>30000</v>
      </c>
      <c r="F108" s="885">
        <f>Korisnici!I270</f>
        <v>0</v>
      </c>
      <c r="G108" s="885">
        <f>Korisnici!J270</f>
        <v>0</v>
      </c>
      <c r="H108" s="885">
        <f>Korisnici!K270</f>
        <v>0</v>
      </c>
      <c r="I108" s="885">
        <f>Korisnici!L270</f>
        <v>30000</v>
      </c>
      <c r="J108" s="885">
        <f>Korisnici!M270</f>
        <v>30000</v>
      </c>
      <c r="K108" s="885">
        <f>Korisnici!N270</f>
        <v>30000</v>
      </c>
      <c r="L108" s="889">
        <f t="shared" si="30"/>
        <v>0</v>
      </c>
      <c r="M108" s="828"/>
      <c r="N108" s="748"/>
      <c r="O108" s="748"/>
      <c r="P108" s="748"/>
    </row>
    <row r="109" spans="1:16" s="183" customFormat="1" ht="45.75" x14ac:dyDescent="0.25">
      <c r="A109" s="269">
        <v>615311</v>
      </c>
      <c r="B109" s="272" t="s">
        <v>421</v>
      </c>
      <c r="C109" s="271">
        <f>Korisnici!F601</f>
        <v>0</v>
      </c>
      <c r="D109" s="271">
        <f>Korisnici!G601</f>
        <v>8179</v>
      </c>
      <c r="E109" s="271">
        <f>Korisnici!H601</f>
        <v>0</v>
      </c>
      <c r="F109" s="271">
        <f>Korisnici!I601</f>
        <v>0</v>
      </c>
      <c r="G109" s="271">
        <f>Korisnici!J601</f>
        <v>0</v>
      </c>
      <c r="H109" s="271">
        <f>Korisnici!K601</f>
        <v>0</v>
      </c>
      <c r="I109" s="271">
        <f>Korisnici!L601</f>
        <v>0</v>
      </c>
      <c r="J109" s="271">
        <f>Korisnici!M601</f>
        <v>0</v>
      </c>
      <c r="K109" s="271">
        <f>Korisnici!N601</f>
        <v>0</v>
      </c>
      <c r="L109" s="889">
        <f t="shared" si="30"/>
        <v>-8179</v>
      </c>
      <c r="M109" s="828"/>
      <c r="N109" s="748"/>
      <c r="O109" s="748"/>
      <c r="P109" s="748"/>
    </row>
    <row r="110" spans="1:16" s="183" customFormat="1" ht="30" x14ac:dyDescent="0.25">
      <c r="A110" s="146">
        <v>615400</v>
      </c>
      <c r="B110" s="147" t="s">
        <v>445</v>
      </c>
      <c r="C110" s="62">
        <f>Korisnici!F766+Korisnici!F767+Korisnici!F351</f>
        <v>120000</v>
      </c>
      <c r="D110" s="62">
        <f>Korisnici!G766+Korisnici!G767+Korisnici!G351</f>
        <v>270000</v>
      </c>
      <c r="E110" s="62">
        <f>Korisnici!H767</f>
        <v>0</v>
      </c>
      <c r="F110" s="62">
        <f>Korisnici!I767</f>
        <v>0</v>
      </c>
      <c r="G110" s="62">
        <f>Korisnici!J766+Korisnici!J767+Korisnici!J351</f>
        <v>200000</v>
      </c>
      <c r="H110" s="62">
        <f>Korisnici!K766+Korisnici!K767+Korisnici!K351</f>
        <v>0</v>
      </c>
      <c r="I110" s="62">
        <f>Korisnici!L766+Korisnici!L767+Korisnici!L351</f>
        <v>200000</v>
      </c>
      <c r="J110" s="885">
        <f>Korisnici!M766+Korisnici!M767+Korisnici!M351</f>
        <v>150000</v>
      </c>
      <c r="K110" s="885">
        <f>Korisnici!N766+Korisnici!N767+Korisnici!N351</f>
        <v>150000</v>
      </c>
      <c r="L110" s="889">
        <f t="shared" si="30"/>
        <v>-70000</v>
      </c>
      <c r="M110" s="828"/>
      <c r="N110" s="748"/>
      <c r="O110" s="748"/>
      <c r="P110" s="748"/>
    </row>
    <row r="111" spans="1:16" s="183" customFormat="1" ht="8.25" customHeight="1" x14ac:dyDescent="0.25">
      <c r="A111" s="100"/>
      <c r="B111" s="245"/>
      <c r="C111" s="62"/>
      <c r="D111" s="62"/>
      <c r="E111" s="62"/>
      <c r="F111" s="62"/>
      <c r="G111" s="62"/>
      <c r="H111" s="62"/>
      <c r="I111" s="62"/>
      <c r="J111" s="62"/>
      <c r="K111" s="62"/>
      <c r="L111" s="889">
        <f t="shared" si="30"/>
        <v>0</v>
      </c>
      <c r="M111" s="828"/>
      <c r="N111" s="748"/>
      <c r="O111" s="748"/>
      <c r="P111" s="748"/>
    </row>
    <row r="112" spans="1:16" s="183" customFormat="1" ht="32.25" customHeight="1" x14ac:dyDescent="0.25">
      <c r="A112" s="143">
        <v>616000</v>
      </c>
      <c r="B112" s="87" t="s">
        <v>929</v>
      </c>
      <c r="C112" s="78">
        <f>Korisnici!F132</f>
        <v>16309</v>
      </c>
      <c r="D112" s="78">
        <f>Korisnici!G132</f>
        <v>42073</v>
      </c>
      <c r="E112" s="78">
        <f>Korisnici!H132</f>
        <v>41150</v>
      </c>
      <c r="F112" s="78">
        <f>Korisnici!I132</f>
        <v>0</v>
      </c>
      <c r="G112" s="78">
        <f>Korisnici!J132</f>
        <v>0</v>
      </c>
      <c r="H112" s="78">
        <f>Korisnici!K132</f>
        <v>0</v>
      </c>
      <c r="I112" s="78">
        <f>Korisnici!L132</f>
        <v>41150</v>
      </c>
      <c r="J112" s="889">
        <f>Korisnici!M132</f>
        <v>45197.87</v>
      </c>
      <c r="K112" s="889">
        <f>Korisnici!N132</f>
        <v>38622.869999999995</v>
      </c>
      <c r="L112" s="889">
        <f t="shared" si="30"/>
        <v>-923</v>
      </c>
      <c r="M112" s="828"/>
      <c r="N112" s="748"/>
      <c r="O112" s="748"/>
      <c r="P112" s="748"/>
    </row>
    <row r="113" spans="1:16" s="183" customFormat="1" ht="9" customHeight="1" x14ac:dyDescent="0.25">
      <c r="A113" s="37"/>
      <c r="B113" s="174"/>
      <c r="C113" s="40"/>
      <c r="D113" s="40"/>
      <c r="E113" s="40"/>
      <c r="F113" s="40"/>
      <c r="G113" s="40"/>
      <c r="H113" s="40"/>
      <c r="I113" s="40"/>
      <c r="J113" s="40"/>
      <c r="K113" s="40"/>
      <c r="L113" s="889">
        <f t="shared" si="30"/>
        <v>0</v>
      </c>
      <c r="M113" s="828"/>
      <c r="N113" s="748"/>
      <c r="O113" s="748"/>
      <c r="P113" s="748"/>
    </row>
    <row r="114" spans="1:16" s="183" customFormat="1" ht="15.75" customHeight="1" x14ac:dyDescent="0.25">
      <c r="A114" s="54"/>
      <c r="B114" s="172" t="s">
        <v>944</v>
      </c>
      <c r="C114" s="78"/>
      <c r="D114" s="78">
        <f>Korisnici!G811</f>
        <v>60000</v>
      </c>
      <c r="E114" s="78">
        <f>Korisnici!H811</f>
        <v>60000</v>
      </c>
      <c r="F114" s="78">
        <f>Korisnici!I811</f>
        <v>0</v>
      </c>
      <c r="G114" s="78">
        <f>Korisnici!J811</f>
        <v>0</v>
      </c>
      <c r="H114" s="78">
        <f>Korisnici!K811</f>
        <v>0</v>
      </c>
      <c r="I114" s="78">
        <f>Korisnici!L811</f>
        <v>60000</v>
      </c>
      <c r="J114" s="889">
        <f>Korisnici!M811</f>
        <v>70000</v>
      </c>
      <c r="K114" s="889">
        <f>Korisnici!N811</f>
        <v>90000</v>
      </c>
      <c r="L114" s="889">
        <f t="shared" si="30"/>
        <v>0</v>
      </c>
      <c r="M114" s="828"/>
      <c r="N114" s="748"/>
      <c r="O114" s="748"/>
      <c r="P114" s="748"/>
    </row>
    <row r="115" spans="1:16" s="183" customFormat="1" ht="12.75" customHeight="1" x14ac:dyDescent="0.25">
      <c r="A115" s="37"/>
      <c r="B115" s="174"/>
      <c r="C115" s="40"/>
      <c r="D115" s="40"/>
      <c r="E115" s="40"/>
      <c r="F115" s="40"/>
      <c r="G115" s="40"/>
      <c r="H115" s="40"/>
      <c r="I115" s="40"/>
      <c r="J115" s="40"/>
      <c r="K115" s="40"/>
      <c r="L115" s="889">
        <f t="shared" si="30"/>
        <v>0</v>
      </c>
      <c r="M115" s="828"/>
      <c r="N115" s="748"/>
      <c r="O115" s="748"/>
      <c r="P115" s="748"/>
    </row>
    <row r="116" spans="1:16" s="183" customFormat="1" ht="14.25" customHeight="1" x14ac:dyDescent="0.25">
      <c r="A116" s="27">
        <v>820000</v>
      </c>
      <c r="B116" s="172" t="s">
        <v>576</v>
      </c>
      <c r="C116" s="78">
        <f t="shared" ref="C116" si="40">C118+C119+C120+C121+C123+C131+C132+C134+C133</f>
        <v>3792794</v>
      </c>
      <c r="D116" s="78">
        <f t="shared" ref="D116:I116" si="41">D118+D119+D120+D121+D123+D131+D132+D134+D133</f>
        <v>9556339</v>
      </c>
      <c r="E116" s="78">
        <f t="shared" si="41"/>
        <v>732895</v>
      </c>
      <c r="F116" s="78">
        <f>F118+F119+F120+F121+F123+F131+F132+F134+F133</f>
        <v>2633556</v>
      </c>
      <c r="G116" s="78">
        <f t="shared" si="41"/>
        <v>5209999.9800000004</v>
      </c>
      <c r="H116" s="78">
        <f t="shared" si="41"/>
        <v>3053052</v>
      </c>
      <c r="I116" s="78">
        <f t="shared" si="41"/>
        <v>11629502.98</v>
      </c>
      <c r="J116" s="78">
        <f>J118+J119+J120+J121+J123+J131+J132++J133+J134</f>
        <v>7539082</v>
      </c>
      <c r="K116" s="78">
        <f>K118+K119+K120+K121+K123+K131+K132+K134+K133</f>
        <v>5049000</v>
      </c>
      <c r="L116" s="889">
        <f t="shared" si="30"/>
        <v>2073163.9800000004</v>
      </c>
      <c r="M116" s="828"/>
      <c r="N116" s="748"/>
      <c r="O116" s="748"/>
      <c r="P116" s="748"/>
    </row>
    <row r="117" spans="1:16" s="183" customFormat="1" ht="6.75" customHeight="1" x14ac:dyDescent="0.25">
      <c r="A117" s="106"/>
      <c r="B117" s="174"/>
      <c r="C117" s="40"/>
      <c r="D117" s="40"/>
      <c r="E117" s="40"/>
      <c r="F117" s="40"/>
      <c r="G117" s="40"/>
      <c r="H117" s="40"/>
      <c r="I117" s="40"/>
      <c r="J117" s="40"/>
      <c r="K117" s="40"/>
      <c r="L117" s="889">
        <f t="shared" si="30"/>
        <v>0</v>
      </c>
      <c r="M117" s="828"/>
      <c r="N117" s="748"/>
      <c r="O117" s="748"/>
      <c r="P117" s="748"/>
    </row>
    <row r="118" spans="1:16" s="183" customFormat="1" ht="30" customHeight="1" x14ac:dyDescent="0.25">
      <c r="A118" s="37">
        <v>821111</v>
      </c>
      <c r="B118" s="156" t="s">
        <v>192</v>
      </c>
      <c r="C118" s="103">
        <f>Korisnici!F522</f>
        <v>879269</v>
      </c>
      <c r="D118" s="103">
        <f>Korisnici!G522</f>
        <v>300000</v>
      </c>
      <c r="E118" s="103">
        <f>Korisnici!H522</f>
        <v>0</v>
      </c>
      <c r="F118" s="103">
        <f>Korisnici!I522</f>
        <v>0</v>
      </c>
      <c r="G118" s="103">
        <f>Korisnici!J522</f>
        <v>300000</v>
      </c>
      <c r="H118" s="103">
        <f>Korisnici!K522</f>
        <v>300000</v>
      </c>
      <c r="I118" s="103">
        <f>Korisnici!L522</f>
        <v>600000</v>
      </c>
      <c r="J118" s="900">
        <f>Korisnici!M522</f>
        <v>300000</v>
      </c>
      <c r="K118" s="900">
        <f>Korisnici!N522</f>
        <v>300000</v>
      </c>
      <c r="L118" s="889">
        <f t="shared" si="30"/>
        <v>300000</v>
      </c>
      <c r="M118" s="828"/>
      <c r="N118" s="748"/>
      <c r="O118" s="748"/>
      <c r="P118" s="748"/>
    </row>
    <row r="119" spans="1:16" s="323" customFormat="1" ht="30.75" x14ac:dyDescent="0.25">
      <c r="A119" s="179">
        <v>821220</v>
      </c>
      <c r="B119" s="277" t="s">
        <v>213</v>
      </c>
      <c r="C119" s="39">
        <f>Korisnici!F392+Korisnici!F394+Korisnici!F491</f>
        <v>71996</v>
      </c>
      <c r="D119" s="39">
        <f>Korisnici!G392+Korisnici!G394+Korisnici!G491</f>
        <v>300000</v>
      </c>
      <c r="E119" s="39">
        <f>Korisnici!H392+Korisnici!H394+Korisnici!H491</f>
        <v>100000</v>
      </c>
      <c r="F119" s="39">
        <f>Korisnici!I392+Korisnici!I394+Korisnici!I491</f>
        <v>0</v>
      </c>
      <c r="G119" s="39">
        <f>Korisnici!J392+Korisnici!J394+Korisnici!J491</f>
        <v>200000</v>
      </c>
      <c r="H119" s="39">
        <f>Korisnici!K392+Korisnici!K394+Korisnici!K491</f>
        <v>50000</v>
      </c>
      <c r="I119" s="39">
        <f>Korisnici!L392+Korisnici!L394+Korisnici!L491</f>
        <v>350000</v>
      </c>
      <c r="J119" s="876">
        <f>Korisnici!M392+Korisnici!M394+Korisnici!M491</f>
        <v>250000</v>
      </c>
      <c r="K119" s="876">
        <f>Korisnici!N392+Korisnici!N394+Korisnici!N491</f>
        <v>250000</v>
      </c>
      <c r="L119" s="889">
        <f t="shared" si="30"/>
        <v>50000</v>
      </c>
      <c r="M119" s="828"/>
      <c r="N119" s="754"/>
      <c r="O119" s="754"/>
      <c r="P119" s="754"/>
    </row>
    <row r="120" spans="1:16" s="183" customFormat="1" ht="30" x14ac:dyDescent="0.25">
      <c r="A120" s="146" t="s">
        <v>179</v>
      </c>
      <c r="B120" s="152" t="s">
        <v>403</v>
      </c>
      <c r="C120" s="62">
        <f>Korisnici!F402</f>
        <v>359454</v>
      </c>
      <c r="D120" s="62">
        <f>Korisnici!G402</f>
        <v>25548</v>
      </c>
      <c r="E120" s="103">
        <f>Korisnici!H402</f>
        <v>0</v>
      </c>
      <c r="F120" s="103">
        <f>Korisnici!I402</f>
        <v>0</v>
      </c>
      <c r="G120" s="62">
        <f>Korisnici!J402</f>
        <v>300000</v>
      </c>
      <c r="H120" s="62">
        <f>Korisnici!K402</f>
        <v>0</v>
      </c>
      <c r="I120" s="62">
        <f>Korisnici!L402</f>
        <v>300000</v>
      </c>
      <c r="J120" s="885">
        <f>Korisnici!M402</f>
        <v>300000</v>
      </c>
      <c r="K120" s="885">
        <f>Korisnici!N402</f>
        <v>0</v>
      </c>
      <c r="L120" s="889">
        <f t="shared" si="30"/>
        <v>274452</v>
      </c>
      <c r="M120" s="828"/>
      <c r="N120" s="748"/>
      <c r="O120" s="748"/>
      <c r="P120" s="748"/>
    </row>
    <row r="121" spans="1:16" s="183" customFormat="1" ht="15.75" x14ac:dyDescent="0.25">
      <c r="A121" s="37">
        <v>821300</v>
      </c>
      <c r="B121" s="111" t="s">
        <v>173</v>
      </c>
      <c r="C121" s="39">
        <f>Korisnici!F32+Korisnici!F96+Korisnici!F605+Korisnici!F609+Korisnici!F618+Korisnici!F686+Korisnici!F807+Korisnici!F57+Korisnici!F137+Korisnici!F279+Korisnici!F460+Korisnici!F412+Korisnici!F413+Korisnici!F528+Korisnici!F621+Korisnici!F710</f>
        <v>71598</v>
      </c>
      <c r="D121" s="39">
        <f>Korisnici!G32+Korisnici!G96+Korisnici!G605+Korisnici!G609+Korisnici!G618+Korisnici!G686+Korisnici!G807+Korisnici!G57+Korisnici!G137+Korisnici!G279+Korisnici!G460+Korisnici!G412+Korisnici!G413+Korisnici!G528+Korisnici!G621+Korisnici!G710</f>
        <v>811594</v>
      </c>
      <c r="E121" s="39">
        <f>Korisnici!H32+Korisnici!H57+Korisnici!H96+Korisnici!H137+Korisnici!H279+Korisnici!H412+Korisnici!H460+Korisnici!H492+Korisnici!H605+Korisnici!H609+Korisnici!H618+Korisnici!H686+Korisnici!H807+Korisnici!H528+Korisnici!H621+Korisnici!H710+Korisnici!H771</f>
        <v>304500</v>
      </c>
      <c r="F121" s="876">
        <f>Korisnici!I32+Korisnici!I57+Korisnici!I96+Korisnici!I137+Korisnici!I279+Korisnici!I412+Korisnici!I460+Korisnici!I492+Korisnici!I605+Korisnici!I609+Korisnici!I618+Korisnici!I686+Korisnici!I807+Korisnici!I528+Korisnici!I621+Korisnici!I710+Korisnici!I771</f>
        <v>0</v>
      </c>
      <c r="G121" s="876">
        <f>Korisnici!J32+Korisnici!J57+Korisnici!J96+Korisnici!J137+Korisnici!J279+Korisnici!J412+Korisnici!J460+Korisnici!J492+Korisnici!J605+Korisnici!J609+Korisnici!J618+Korisnici!J686+Korisnici!J807+Korisnici!J528+Korisnici!J621+Korisnici!J710+Korisnici!J771</f>
        <v>646716</v>
      </c>
      <c r="H121" s="876">
        <f>Korisnici!K32+Korisnici!K57+Korisnici!K96+Korisnici!K137+Korisnici!K279+Korisnici!K412+Korisnici!K460+Korisnici!K492+Korisnici!K605+Korisnici!K609+Korisnici!K618+Korisnici!K686+Korisnici!K807+Korisnici!K528+Korisnici!K621+Korisnici!K710+Korisnici!K771</f>
        <v>0</v>
      </c>
      <c r="I121" s="876">
        <f>Korisnici!L32+Korisnici!L57+Korisnici!L96+Korisnici!L137+Korisnici!L279+Korisnici!L412+Korisnici!L460+Korisnici!L492+Korisnici!L605+Korisnici!L609+Korisnici!L618+Korisnici!L686+Korisnici!L807+Korisnici!L528+Korisnici!L621+Korisnici!L710+Korisnici!L771</f>
        <v>951216</v>
      </c>
      <c r="J121" s="876">
        <f>Korisnici!M32+Korisnici!M57+Korisnici!M96+Korisnici!M137+Korisnici!M279+Korisnici!M412+Korisnici!M460+Korisnici!M492+Korisnici!M605+Korisnici!M609+Korisnici!M618+Korisnici!M686+Korisnici!M807+Korisnici!M528+Korisnici!M621+Korisnici!M710+Korisnici!M771</f>
        <v>448000</v>
      </c>
      <c r="K121" s="876">
        <f>Korisnici!N32+Korisnici!N57+Korisnici!N96+Korisnici!N137+Korisnici!N279+Korisnici!N412+Korisnici!N460+Korisnici!N492+Korisnici!N605+Korisnici!N609+Korisnici!N618+Korisnici!N686+Korisnici!N807+Korisnici!N528+Korisnici!N621+Korisnici!N710+Korisnici!N771</f>
        <v>438000</v>
      </c>
      <c r="L121" s="889">
        <f t="shared" si="30"/>
        <v>139622</v>
      </c>
      <c r="M121" s="828"/>
      <c r="N121" s="748"/>
      <c r="O121" s="748"/>
      <c r="P121" s="748"/>
    </row>
    <row r="122" spans="1:16" s="183" customFormat="1" ht="45.75" x14ac:dyDescent="0.25">
      <c r="A122" s="37"/>
      <c r="B122" s="44" t="s">
        <v>74</v>
      </c>
      <c r="C122" s="39">
        <f>Korisnici!F605+Korisnici!F609+Korisnici!F618</f>
        <v>12871</v>
      </c>
      <c r="D122" s="39">
        <f>Korisnici!G605+Korisnici!G609+Korisnici!G618</f>
        <v>538094</v>
      </c>
      <c r="E122" s="39">
        <f>Korisnici!H605+Korisnici!H609+Korisnici!H618</f>
        <v>0</v>
      </c>
      <c r="F122" s="39">
        <f>Korisnici!I605+Korisnici!I609+Korisnici!I618</f>
        <v>0</v>
      </c>
      <c r="G122" s="39">
        <f>Korisnici!J605+Korisnici!J609+Korisnici!J618</f>
        <v>646716</v>
      </c>
      <c r="H122" s="39">
        <f>Korisnici!K605+Korisnici!K609+Korisnici!K618</f>
        <v>0</v>
      </c>
      <c r="I122" s="39">
        <f>Korisnici!L605+Korisnici!L609+Korisnici!L618</f>
        <v>646716</v>
      </c>
      <c r="J122" s="876">
        <f>Korisnici!M605+Korisnici!M609+Korisnici!M618</f>
        <v>406000</v>
      </c>
      <c r="K122" s="876">
        <f>Korisnici!N605+Korisnici!N609+Korisnici!N618</f>
        <v>406000</v>
      </c>
      <c r="L122" s="889">
        <f t="shared" si="30"/>
        <v>108622</v>
      </c>
      <c r="M122" s="828"/>
      <c r="N122" s="748"/>
      <c r="O122" s="748"/>
      <c r="P122" s="748"/>
    </row>
    <row r="123" spans="1:16" s="183" customFormat="1" ht="15.75" x14ac:dyDescent="0.25">
      <c r="A123" s="179">
        <v>821200</v>
      </c>
      <c r="B123" s="149" t="s">
        <v>174</v>
      </c>
      <c r="C123" s="153">
        <f>Korisnici!F773+Korisnici!F359-Korisnici!F367-Korisnici!F368+Korisnici!F396+Korisnici!F411+Korisnici!F604</f>
        <v>1465028</v>
      </c>
      <c r="D123" s="153">
        <f>Korisnici!G773+Korisnici!G359-Korisnici!G367-Korisnici!G368+Korisnici!G396+Korisnici!G411+Korisnici!G604+Korisnici!G770</f>
        <v>6542245</v>
      </c>
      <c r="E123" s="153">
        <f>Korisnici!H359-Korisnici!H367+Korisnici!H396-Korisnici!H368+Korisnici!H604+Korisnici!H773</f>
        <v>0</v>
      </c>
      <c r="F123" s="153">
        <f>Korisnici!I373+Korisnici!I374+Korisnici!I389+Korisnici!I391</f>
        <v>2633556</v>
      </c>
      <c r="G123" s="153">
        <f>Korisnici!J773+Korisnici!J359-Korisnici!J367-Korisnici!J368+Korisnici!J396+Korisnici!J411+Korisnici!J604+Korisnici!J770</f>
        <v>2078905.48</v>
      </c>
      <c r="H123" s="153">
        <f>Korisnici!K773+Korisnici!K359-Korisnici!K367+Korisnici!K396-Korisnici!K368+Korisnici!K411+Korisnici!K604</f>
        <v>2504652</v>
      </c>
      <c r="I123" s="153">
        <f>Korisnici!L773+Korisnici!L359-Korisnici!L367-Korisnici!L368+Korisnici!L396+Korisnici!L411+Korisnici!L604</f>
        <v>7217113.4800000004</v>
      </c>
      <c r="J123" s="153">
        <f>Korisnici!M773+Korisnici!M359-Korisnici!M367-Korisnici!M368+Korisnici!M396+Korisnici!M411+Korisnici!M604</f>
        <v>5639593</v>
      </c>
      <c r="K123" s="153">
        <f>Korisnici!N773+Korisnici!N359-Korisnici!N367-Korisnici!N368+Korisnici!N396+Korisnici!N411+Korisnici!N604</f>
        <v>3395000</v>
      </c>
      <c r="L123" s="889">
        <f t="shared" si="30"/>
        <v>674868.48000000045</v>
      </c>
      <c r="M123" s="828"/>
      <c r="N123" s="748"/>
      <c r="O123" s="748"/>
      <c r="P123" s="748"/>
    </row>
    <row r="124" spans="1:16" s="183" customFormat="1" ht="15.75" x14ac:dyDescent="0.25">
      <c r="A124" s="179"/>
      <c r="B124" s="85" t="s">
        <v>444</v>
      </c>
      <c r="C124" s="154">
        <f>Korisnici!F604</f>
        <v>0</v>
      </c>
      <c r="D124" s="154">
        <f>Korisnici!G604</f>
        <v>80000</v>
      </c>
      <c r="E124" s="154"/>
      <c r="F124" s="154"/>
      <c r="G124" s="154">
        <f>Korisnici!J604</f>
        <v>80000</v>
      </c>
      <c r="H124" s="154">
        <f>Korisnici!K604</f>
        <v>0</v>
      </c>
      <c r="I124" s="154">
        <f>Korisnici!L604</f>
        <v>80000</v>
      </c>
      <c r="J124" s="154">
        <f>Korisnici!M604</f>
        <v>30000</v>
      </c>
      <c r="K124" s="154">
        <f>Korisnici!N604</f>
        <v>30000</v>
      </c>
      <c r="L124" s="889">
        <f t="shared" si="30"/>
        <v>0</v>
      </c>
      <c r="M124" s="828"/>
      <c r="N124" s="748"/>
      <c r="O124" s="748"/>
      <c r="P124" s="748"/>
    </row>
    <row r="125" spans="1:16" s="183" customFormat="1" ht="43.5" x14ac:dyDescent="0.25">
      <c r="A125" s="1020">
        <v>821224</v>
      </c>
      <c r="B125" s="1021" t="s">
        <v>1235</v>
      </c>
      <c r="C125" s="1022"/>
      <c r="D125" s="1022"/>
      <c r="E125" s="1022"/>
      <c r="F125" s="1022">
        <f>Korisnici!I373</f>
        <v>1349872</v>
      </c>
      <c r="G125" s="1022">
        <f>Korisnici!J373</f>
        <v>748230</v>
      </c>
      <c r="H125" s="1022">
        <f>Korisnici!K373</f>
        <v>454000</v>
      </c>
      <c r="I125" s="1022">
        <f>Korisnici!L373</f>
        <v>2552102</v>
      </c>
      <c r="J125" s="1022">
        <f>Korisnici!M373</f>
        <v>0</v>
      </c>
      <c r="K125" s="1022">
        <f>Korisnici!N373</f>
        <v>0</v>
      </c>
      <c r="L125" s="1023"/>
      <c r="M125" s="828"/>
      <c r="N125" s="748"/>
      <c r="O125" s="748"/>
      <c r="P125" s="748"/>
    </row>
    <row r="126" spans="1:16" s="183" customFormat="1" ht="29.25" x14ac:dyDescent="0.25">
      <c r="A126" s="1020">
        <v>821224</v>
      </c>
      <c r="B126" s="1021" t="s">
        <v>1238</v>
      </c>
      <c r="C126" s="1022"/>
      <c r="D126" s="1022"/>
      <c r="E126" s="1022"/>
      <c r="F126" s="1022"/>
      <c r="G126" s="1022">
        <f>Korisnici!J361+Korisnici!J362</f>
        <v>48330</v>
      </c>
      <c r="H126" s="1022">
        <f>Korisnici!K361+Korisnici!K362</f>
        <v>0</v>
      </c>
      <c r="I126" s="1022">
        <f>Korisnici!L361+Korisnici!L362</f>
        <v>48330</v>
      </c>
      <c r="J126" s="1022">
        <f>Korisnici!M361+Korisnici!M362</f>
        <v>0</v>
      </c>
      <c r="K126" s="1022">
        <f>Korisnici!N361+Korisnici!N362</f>
        <v>0</v>
      </c>
      <c r="L126" s="1023"/>
      <c r="M126" s="828"/>
      <c r="N126" s="748"/>
      <c r="O126" s="748"/>
      <c r="P126" s="748"/>
    </row>
    <row r="127" spans="1:16" s="183" customFormat="1" ht="28.5" x14ac:dyDescent="0.25">
      <c r="A127" s="1020">
        <v>821224</v>
      </c>
      <c r="B127" s="1024" t="s">
        <v>1231</v>
      </c>
      <c r="C127" s="1022"/>
      <c r="D127" s="1022"/>
      <c r="E127" s="1022"/>
      <c r="F127" s="1022"/>
      <c r="G127" s="1022">
        <f>Korisnici!J398</f>
        <v>0</v>
      </c>
      <c r="H127" s="1022">
        <f>Korisnici!K398</f>
        <v>107000</v>
      </c>
      <c r="I127" s="1022">
        <f>Korisnici!L398</f>
        <v>107000</v>
      </c>
      <c r="J127" s="1022"/>
      <c r="K127" s="1022"/>
      <c r="L127" s="1023"/>
      <c r="M127" s="828"/>
      <c r="N127" s="748"/>
      <c r="O127" s="748"/>
      <c r="P127" s="748"/>
    </row>
    <row r="128" spans="1:16" s="183" customFormat="1" ht="46.5" customHeight="1" x14ac:dyDescent="0.25">
      <c r="A128" s="1020">
        <v>821224</v>
      </c>
      <c r="B128" s="1024" t="s">
        <v>1233</v>
      </c>
      <c r="C128" s="1022"/>
      <c r="D128" s="1022"/>
      <c r="E128" s="1022"/>
      <c r="F128" s="1022"/>
      <c r="G128" s="1022">
        <f>Korisnici!J380+Korisnici!J381+Korisnici!J382+Korisnici!J383</f>
        <v>16740.479999999996</v>
      </c>
      <c r="H128" s="1022">
        <f>Korisnici!K380+Korisnici!K381+Korisnici!K382+Korisnici!K383</f>
        <v>281467</v>
      </c>
      <c r="I128" s="1022">
        <f>Korisnici!L380+Korisnici!L381+Korisnici!L382+Korisnici!L383</f>
        <v>298207.48</v>
      </c>
      <c r="J128" s="1022"/>
      <c r="K128" s="1022"/>
      <c r="L128" s="1023"/>
      <c r="M128" s="828"/>
      <c r="N128" s="748"/>
      <c r="O128" s="748"/>
      <c r="P128" s="748"/>
    </row>
    <row r="129" spans="1:16" s="183" customFormat="1" ht="47.25" customHeight="1" x14ac:dyDescent="0.25">
      <c r="A129" s="1020">
        <v>821224</v>
      </c>
      <c r="B129" s="1024" t="s">
        <v>1234</v>
      </c>
      <c r="C129" s="1022"/>
      <c r="D129" s="1022"/>
      <c r="E129" s="1022"/>
      <c r="F129" s="1022"/>
      <c r="G129" s="1022">
        <f>Korisnici!J377</f>
        <v>93234</v>
      </c>
      <c r="H129" s="1022">
        <f>Korisnici!K377</f>
        <v>0</v>
      </c>
      <c r="I129" s="1022">
        <f>Korisnici!L377</f>
        <v>93234</v>
      </c>
      <c r="J129" s="1022"/>
      <c r="K129" s="1022"/>
      <c r="L129" s="1023"/>
      <c r="M129" s="828"/>
      <c r="N129" s="748"/>
      <c r="O129" s="748"/>
      <c r="P129" s="748"/>
    </row>
    <row r="130" spans="1:16" s="183" customFormat="1" ht="30.75" customHeight="1" x14ac:dyDescent="0.25">
      <c r="A130" s="1020">
        <v>821224</v>
      </c>
      <c r="B130" s="1024" t="s">
        <v>1237</v>
      </c>
      <c r="C130" s="1022"/>
      <c r="D130" s="1022"/>
      <c r="E130" s="1022"/>
      <c r="F130" s="1022"/>
      <c r="G130" s="1022">
        <f>Korisnici!J365</f>
        <v>15979</v>
      </c>
      <c r="H130" s="1022">
        <f>Korisnici!K365</f>
        <v>0</v>
      </c>
      <c r="I130" s="1022">
        <f>Korisnici!L365</f>
        <v>15979</v>
      </c>
      <c r="J130" s="1022">
        <f>Korisnici!M365</f>
        <v>0</v>
      </c>
      <c r="K130" s="1022">
        <f>Korisnici!N365</f>
        <v>0</v>
      </c>
      <c r="L130" s="1023"/>
      <c r="M130" s="828"/>
      <c r="N130" s="748"/>
      <c r="O130" s="748"/>
      <c r="P130" s="748"/>
    </row>
    <row r="131" spans="1:16" s="183" customFormat="1" ht="30.75" x14ac:dyDescent="0.25">
      <c r="A131" s="37">
        <v>821410</v>
      </c>
      <c r="B131" s="275" t="s">
        <v>402</v>
      </c>
      <c r="C131" s="153">
        <f>Korisnici!F772</f>
        <v>0</v>
      </c>
      <c r="D131" s="153">
        <f>Korisnici!G772</f>
        <v>60000</v>
      </c>
      <c r="E131" s="153">
        <f>Korisnici!H772</f>
        <v>0</v>
      </c>
      <c r="F131" s="153">
        <f>Korisnici!I772</f>
        <v>0</v>
      </c>
      <c r="G131" s="153">
        <f>Korisnici!J772</f>
        <v>60000</v>
      </c>
      <c r="H131" s="153">
        <f>Korisnici!K772</f>
        <v>0</v>
      </c>
      <c r="I131" s="153">
        <f>Korisnici!L772</f>
        <v>60000</v>
      </c>
      <c r="J131" s="153">
        <f>Korisnici!M772</f>
        <v>20000</v>
      </c>
      <c r="K131" s="153">
        <f>Korisnici!N772</f>
        <v>20000</v>
      </c>
      <c r="L131" s="889">
        <f t="shared" si="30"/>
        <v>0</v>
      </c>
      <c r="M131" s="828"/>
      <c r="N131" s="748"/>
      <c r="O131" s="748"/>
      <c r="P131" s="748"/>
    </row>
    <row r="132" spans="1:16" s="183" customFormat="1" ht="58.5" customHeight="1" x14ac:dyDescent="0.25">
      <c r="A132" s="37">
        <v>821340</v>
      </c>
      <c r="B132" s="350" t="s">
        <v>426</v>
      </c>
      <c r="C132" s="153">
        <f>Korisnici!F529</f>
        <v>0</v>
      </c>
      <c r="D132" s="153">
        <f>Korisnici!G529</f>
        <v>26000</v>
      </c>
      <c r="E132" s="153">
        <f>Korisnici!H529</f>
        <v>0</v>
      </c>
      <c r="F132" s="153">
        <f>Korisnici!I529</f>
        <v>0</v>
      </c>
      <c r="G132" s="153">
        <f>Korisnici!J529</f>
        <v>0</v>
      </c>
      <c r="H132" s="153">
        <f>Korisnici!K529</f>
        <v>0</v>
      </c>
      <c r="I132" s="153">
        <f>Korisnici!L529</f>
        <v>0</v>
      </c>
      <c r="J132" s="153">
        <f>Korisnici!M529</f>
        <v>0</v>
      </c>
      <c r="K132" s="153">
        <f>Korisnici!N529</f>
        <v>0</v>
      </c>
      <c r="L132" s="889">
        <f t="shared" si="30"/>
        <v>-26000</v>
      </c>
      <c r="M132" s="828"/>
      <c r="N132" s="748"/>
      <c r="O132" s="748"/>
      <c r="P132" s="748"/>
    </row>
    <row r="133" spans="1:16" s="183" customFormat="1" ht="19.5" customHeight="1" x14ac:dyDescent="0.25">
      <c r="A133" s="37">
        <v>821500</v>
      </c>
      <c r="B133" s="350" t="s">
        <v>429</v>
      </c>
      <c r="C133" s="153">
        <f>Korisnici!F138+Korisnici!F280+Korisnici!F417+Korisnici!F418+Korisnici!F461+Korisnici!F493+Korisnici!F530</f>
        <v>20000</v>
      </c>
      <c r="D133" s="153">
        <f>Korisnici!G138+Korisnici!G280+Korisnici!G417+Korisnici!G418+Korisnici!G461+Korisnici!G493+Korisnici!G530</f>
        <v>371816</v>
      </c>
      <c r="E133" s="153">
        <f>Korisnici!H138+Korisnici!H461+Korisnici!H280+Korisnici!H417+Korisnici!H418+Korisnici!H530</f>
        <v>148395</v>
      </c>
      <c r="F133" s="153">
        <f>Korisnici!I138+Korisnici!I461+Korisnici!I280+Korisnici!I417+Korisnici!I418+Korisnici!I530</f>
        <v>0</v>
      </c>
      <c r="G133" s="153">
        <f>Korisnici!J138+Korisnici!J461+Korisnici!J280+Korisnici!J417+Korisnici!J418+Korisnici!J530</f>
        <v>0</v>
      </c>
      <c r="H133" s="153">
        <f>Korisnici!K138+Korisnici!K461+Korisnici!K280+Korisnici!K417+Korisnici!K418+Korisnici!K530</f>
        <v>22400</v>
      </c>
      <c r="I133" s="153">
        <f>Korisnici!L138+Korisnici!L417+Korisnici!L418+Korisnici!L530+Korisnici!L461+Korisnici!L280</f>
        <v>170795</v>
      </c>
      <c r="J133" s="153">
        <f>Korisnici!M138+Korisnici!M417+Korisnici!M418+Korisnici!M530+Korisnici!M461+Korisnici!M280</f>
        <v>70000</v>
      </c>
      <c r="K133" s="153">
        <f>Korisnici!N138+Korisnici!N417+Korisnici!N418+Korisnici!N530+Korisnici!N461+Korisnici!N280</f>
        <v>70000</v>
      </c>
      <c r="L133" s="889">
        <f t="shared" si="30"/>
        <v>-201021</v>
      </c>
      <c r="M133" s="828"/>
      <c r="N133" s="748"/>
      <c r="O133" s="748"/>
      <c r="P133" s="748"/>
    </row>
    <row r="134" spans="1:16" s="183" customFormat="1" ht="15.75" x14ac:dyDescent="0.25">
      <c r="A134" s="179">
        <v>821610</v>
      </c>
      <c r="B134" s="111" t="s">
        <v>430</v>
      </c>
      <c r="C134" s="153">
        <f>Korisnici!F367+Korisnici!F368+Korisnici!F403+Korisnici!F620+Korisnici!F606+Korisnici!F607+Korisnici!F414+Korisnici!F774+Korisnici!F775</f>
        <v>925449</v>
      </c>
      <c r="D134" s="153">
        <f>Korisnici!G367+Korisnici!G368+Korisnici!G403+Korisnici!G620+Korisnici!G606+Korisnici!G607+Korisnici!G414+Korisnici!G774+Korisnici!G775</f>
        <v>1119136</v>
      </c>
      <c r="E134" s="153">
        <f>Korisnici!H368+Korisnici!H403+Korisnici!H620+Korisnici!H606+Korisnici!H607+Korisnici!H414</f>
        <v>180000</v>
      </c>
      <c r="F134" s="153">
        <f>Korisnici!I368+Korisnici!I403+Korisnici!I620+Korisnici!I606+Korisnici!I607+Korisnici!I414</f>
        <v>0</v>
      </c>
      <c r="G134" s="153">
        <f>Korisnici!J367+Korisnici!J368+Korisnici!J403+Korisnici!J620+Korisnici!J606+Korisnici!J607+Korisnici!J414+Korisnici!J775</f>
        <v>1624378.5</v>
      </c>
      <c r="H134" s="153">
        <f>Korisnici!K367+Korisnici!K368+Korisnici!K403+Korisnici!K620+Korisnici!K606+Korisnici!K607+Korisnici!K414+Korisnici!K774</f>
        <v>176000</v>
      </c>
      <c r="I134" s="153">
        <f>Korisnici!L367+Korisnici!L368+Korisnici!L403+Korisnici!L620+Korisnici!L606+Korisnici!L607+Korisnici!L414+Korisnici!L774+Korisnici!L775</f>
        <v>1980378.5</v>
      </c>
      <c r="J134" s="153">
        <f>Korisnici!M367+Korisnici!M368+Korisnici!M403+Korisnici!M620+Korisnici!M606+Korisnici!M607+Korisnici!M414+Korisnici!M774+Korisnici!M775</f>
        <v>511489</v>
      </c>
      <c r="K134" s="153">
        <f>Korisnici!N367+Korisnici!N368+Korisnici!N403+Korisnici!N620+Korisnici!N606+Korisnici!N607+Korisnici!N414+Korisnici!N774+Korisnici!N775</f>
        <v>576000</v>
      </c>
      <c r="L134" s="889">
        <f t="shared" si="30"/>
        <v>861242.5</v>
      </c>
      <c r="M134" s="828"/>
      <c r="N134" s="748"/>
      <c r="O134" s="748"/>
      <c r="P134" s="748"/>
    </row>
    <row r="135" spans="1:16" s="320" customFormat="1" ht="15.75" x14ac:dyDescent="0.25">
      <c r="A135" s="278"/>
      <c r="B135" s="85" t="s">
        <v>145</v>
      </c>
      <c r="C135" s="154">
        <f>Korisnici!F620</f>
        <v>0</v>
      </c>
      <c r="D135" s="154">
        <f>Korisnici!G620</f>
        <v>368176</v>
      </c>
      <c r="E135" s="154">
        <f>Korisnici!H620</f>
        <v>0</v>
      </c>
      <c r="F135" s="154">
        <f>Korisnici!I620</f>
        <v>0</v>
      </c>
      <c r="G135" s="154">
        <f>Korisnici!J620</f>
        <v>748927</v>
      </c>
      <c r="H135" s="154">
        <f>Korisnici!K620</f>
        <v>0</v>
      </c>
      <c r="I135" s="154">
        <f>Korisnici!L620</f>
        <v>748927</v>
      </c>
      <c r="J135" s="154">
        <f>Korisnici!M620</f>
        <v>100000</v>
      </c>
      <c r="K135" s="154">
        <f>Korisnici!N620</f>
        <v>100000</v>
      </c>
      <c r="L135" s="889">
        <f t="shared" si="30"/>
        <v>380751</v>
      </c>
      <c r="M135" s="828"/>
      <c r="N135" s="752"/>
      <c r="O135" s="752"/>
      <c r="P135" s="752"/>
    </row>
    <row r="136" spans="1:16" s="320" customFormat="1" ht="15.75" x14ac:dyDescent="0.25">
      <c r="A136" s="278"/>
      <c r="B136" s="85" t="s">
        <v>163</v>
      </c>
      <c r="C136" s="154">
        <f>Korisnici!F606+Korisnici!F607</f>
        <v>7850</v>
      </c>
      <c r="D136" s="154">
        <f>Korisnici!G606+Korisnici!G607</f>
        <v>119310</v>
      </c>
      <c r="E136" s="154">
        <f>Korisnici!H606+Korisnici!H607</f>
        <v>0</v>
      </c>
      <c r="F136" s="154">
        <f>Korisnici!I606+Korisnici!I607</f>
        <v>0</v>
      </c>
      <c r="G136" s="154">
        <f>Korisnici!J606+Korisnici!J607</f>
        <v>0</v>
      </c>
      <c r="H136" s="154">
        <f>Korisnici!K606+Korisnici!K607</f>
        <v>0</v>
      </c>
      <c r="I136" s="154">
        <f>Korisnici!L606+Korisnici!L607</f>
        <v>0</v>
      </c>
      <c r="J136" s="154">
        <f>Korisnici!M606+Korisnici!M607</f>
        <v>0</v>
      </c>
      <c r="K136" s="154">
        <f>Korisnici!N606+Korisnici!N607</f>
        <v>0</v>
      </c>
      <c r="L136" s="889">
        <f t="shared" si="30"/>
        <v>-119310</v>
      </c>
      <c r="M136" s="828"/>
      <c r="N136" s="752"/>
      <c r="O136" s="752"/>
      <c r="P136" s="752"/>
    </row>
    <row r="137" spans="1:16" s="320" customFormat="1" ht="15.75" x14ac:dyDescent="0.25">
      <c r="A137" s="278"/>
      <c r="B137" s="85" t="s">
        <v>166</v>
      </c>
      <c r="C137" s="154">
        <f>Korisnici!F414</f>
        <v>43891</v>
      </c>
      <c r="D137" s="154">
        <f>Korisnici!G414</f>
        <v>20000</v>
      </c>
      <c r="E137" s="154">
        <f>Korisnici!H414</f>
        <v>80000</v>
      </c>
      <c r="F137" s="154">
        <f>Korisnici!I414</f>
        <v>0</v>
      </c>
      <c r="G137" s="154">
        <f>Korisnici!J414</f>
        <v>0</v>
      </c>
      <c r="H137" s="154">
        <f>Korisnici!K414</f>
        <v>0</v>
      </c>
      <c r="I137" s="154">
        <f>Korisnici!L414</f>
        <v>80000</v>
      </c>
      <c r="J137" s="154">
        <f>Korisnici!M414</f>
        <v>50000</v>
      </c>
      <c r="K137" s="154">
        <f>Korisnici!N414</f>
        <v>50000</v>
      </c>
      <c r="L137" s="889">
        <f t="shared" si="30"/>
        <v>60000</v>
      </c>
      <c r="M137" s="828"/>
      <c r="N137" s="752"/>
      <c r="O137" s="752"/>
      <c r="P137" s="752"/>
    </row>
    <row r="138" spans="1:16" s="320" customFormat="1" ht="15.75" x14ac:dyDescent="0.25">
      <c r="A138" s="278"/>
      <c r="B138" s="85" t="s">
        <v>214</v>
      </c>
      <c r="C138" s="154">
        <f>Korisnici!F403</f>
        <v>873708</v>
      </c>
      <c r="D138" s="154">
        <f>Korisnici!G403</f>
        <v>393650</v>
      </c>
      <c r="E138" s="154">
        <f>Korisnici!H403</f>
        <v>100000</v>
      </c>
      <c r="F138" s="154">
        <f>Korisnici!I403</f>
        <v>0</v>
      </c>
      <c r="G138" s="154">
        <f>Korisnici!J403</f>
        <v>761436</v>
      </c>
      <c r="H138" s="154">
        <f>Korisnici!K403</f>
        <v>53000</v>
      </c>
      <c r="I138" s="154">
        <f>Korisnici!L403</f>
        <v>914436</v>
      </c>
      <c r="J138" s="154">
        <f>Korisnici!M403</f>
        <v>336489</v>
      </c>
      <c r="K138" s="154">
        <f>Korisnici!N403</f>
        <v>401000</v>
      </c>
      <c r="L138" s="889">
        <f t="shared" si="30"/>
        <v>520786</v>
      </c>
      <c r="M138" s="828"/>
      <c r="N138" s="752"/>
      <c r="O138" s="752"/>
      <c r="P138" s="752"/>
    </row>
    <row r="139" spans="1:16" s="320" customFormat="1" ht="30" x14ac:dyDescent="0.25">
      <c r="A139" s="278"/>
      <c r="B139" s="129" t="s">
        <v>241</v>
      </c>
      <c r="C139" s="154">
        <f>Korisnici!F368</f>
        <v>0</v>
      </c>
      <c r="D139" s="154">
        <f>Korisnici!G368</f>
        <v>75000</v>
      </c>
      <c r="E139" s="154">
        <f>Korisnici!H368</f>
        <v>0</v>
      </c>
      <c r="F139" s="154">
        <f>Korisnici!I368</f>
        <v>0</v>
      </c>
      <c r="G139" s="154">
        <f>Korisnici!J368</f>
        <v>99015.5</v>
      </c>
      <c r="H139" s="154">
        <f>Korisnici!K368</f>
        <v>10000</v>
      </c>
      <c r="I139" s="154">
        <f>Korisnici!L368</f>
        <v>109015.5</v>
      </c>
      <c r="J139" s="154">
        <f>Korisnici!M368</f>
        <v>25000</v>
      </c>
      <c r="K139" s="154">
        <f>Korisnici!N368</f>
        <v>25000</v>
      </c>
      <c r="L139" s="889">
        <f t="shared" si="30"/>
        <v>34015.5</v>
      </c>
      <c r="M139" s="828"/>
      <c r="N139" s="752"/>
      <c r="O139" s="752"/>
      <c r="P139" s="752"/>
    </row>
    <row r="140" spans="1:16" s="320" customFormat="1" ht="28.5" x14ac:dyDescent="0.25">
      <c r="A140" s="1030">
        <v>821600</v>
      </c>
      <c r="B140" s="1024" t="s">
        <v>1232</v>
      </c>
      <c r="C140" s="1022"/>
      <c r="D140" s="1022"/>
      <c r="E140" s="1022"/>
      <c r="F140" s="1022"/>
      <c r="G140" s="1022">
        <f>Korisnici!J407+Korisnici!J408+Korisnici!J409</f>
        <v>466725</v>
      </c>
      <c r="H140" s="1022">
        <f>Korisnici!K407+Korisnici!K408+Korisnici!K409</f>
        <v>53000</v>
      </c>
      <c r="I140" s="1022">
        <f>Korisnici!L407+Korisnici!L408+Korisnici!L409</f>
        <v>519725</v>
      </c>
      <c r="J140" s="1022"/>
      <c r="K140" s="1022"/>
      <c r="L140" s="1031"/>
      <c r="M140" s="828"/>
      <c r="N140" s="752"/>
      <c r="O140" s="752"/>
      <c r="P140" s="752"/>
    </row>
    <row r="141" spans="1:16" s="320" customFormat="1" ht="28.5" x14ac:dyDescent="0.25">
      <c r="A141" s="1030">
        <v>821611</v>
      </c>
      <c r="B141" s="1024" t="s">
        <v>1236</v>
      </c>
      <c r="C141" s="1022"/>
      <c r="D141" s="1022"/>
      <c r="E141" s="1022"/>
      <c r="F141" s="1022"/>
      <c r="G141" s="1022">
        <f>Korisnici!J369+Korisnici!J370+Korisnici!J371</f>
        <v>49015.5</v>
      </c>
      <c r="H141" s="1022">
        <f>Korisnici!K369+Korisnici!K370+Korisnici!K371</f>
        <v>10000</v>
      </c>
      <c r="I141" s="1022">
        <f>Korisnici!L369+Korisnici!L370+Korisnici!L371</f>
        <v>59015.5</v>
      </c>
      <c r="J141" s="1022"/>
      <c r="K141" s="1022"/>
      <c r="L141" s="1031"/>
      <c r="M141" s="828"/>
      <c r="N141" s="752"/>
      <c r="O141" s="752"/>
      <c r="P141" s="752"/>
    </row>
    <row r="142" spans="1:16" s="320" customFormat="1" ht="9" customHeight="1" x14ac:dyDescent="0.25">
      <c r="A142" s="100"/>
      <c r="B142" s="674"/>
      <c r="C142" s="301"/>
      <c r="D142" s="301"/>
      <c r="E142" s="301"/>
      <c r="F142" s="301"/>
      <c r="G142" s="301"/>
      <c r="H142" s="301"/>
      <c r="I142" s="301"/>
      <c r="J142" s="301"/>
      <c r="K142" s="910"/>
      <c r="L142" s="889">
        <f t="shared" si="30"/>
        <v>0</v>
      </c>
      <c r="M142" s="828"/>
      <c r="N142" s="752"/>
      <c r="O142" s="752"/>
      <c r="P142" s="752"/>
    </row>
    <row r="143" spans="1:16" s="320" customFormat="1" ht="15.75" x14ac:dyDescent="0.25">
      <c r="A143" s="100"/>
      <c r="B143" s="675" t="s">
        <v>946</v>
      </c>
      <c r="C143" s="301">
        <f t="shared" ref="C143" si="42">C144+C145</f>
        <v>87500</v>
      </c>
      <c r="D143" s="301">
        <f t="shared" ref="D143:J143" si="43">D144+D145</f>
        <v>296000</v>
      </c>
      <c r="E143" s="301">
        <f t="shared" si="43"/>
        <v>296000</v>
      </c>
      <c r="F143" s="301">
        <f t="shared" si="43"/>
        <v>0</v>
      </c>
      <c r="G143" s="301">
        <f t="shared" si="43"/>
        <v>0</v>
      </c>
      <c r="H143" s="301">
        <f t="shared" si="43"/>
        <v>0</v>
      </c>
      <c r="I143" s="301">
        <f t="shared" si="43"/>
        <v>296000</v>
      </c>
      <c r="J143" s="910">
        <f t="shared" si="43"/>
        <v>376000</v>
      </c>
      <c r="K143" s="910">
        <f t="shared" ref="K143" si="44">K144+K145</f>
        <v>476000</v>
      </c>
      <c r="L143" s="889">
        <f t="shared" si="30"/>
        <v>0</v>
      </c>
      <c r="M143" s="828"/>
      <c r="N143" s="752"/>
      <c r="O143" s="752"/>
      <c r="P143" s="752"/>
    </row>
    <row r="144" spans="1:16" s="183" customFormat="1" ht="31.5" customHeight="1" x14ac:dyDescent="0.25">
      <c r="A144" s="37">
        <v>823000</v>
      </c>
      <c r="B144" s="578" t="s">
        <v>908</v>
      </c>
      <c r="C144" s="40">
        <f>Korisnici!F134+Korisnici!F135</f>
        <v>87500</v>
      </c>
      <c r="D144" s="40">
        <f>Korisnici!G134+Korisnici!G135</f>
        <v>230000</v>
      </c>
      <c r="E144" s="40">
        <f>Korisnici!H134+Korisnici!H135</f>
        <v>230000</v>
      </c>
      <c r="F144" s="40">
        <f>Korisnici!I134+Korisnici!I135</f>
        <v>0</v>
      </c>
      <c r="G144" s="40">
        <f>Korisnici!J134+Korisnici!J135</f>
        <v>0</v>
      </c>
      <c r="H144" s="40">
        <f>Korisnici!K134+Korisnici!K135</f>
        <v>0</v>
      </c>
      <c r="I144" s="40">
        <f>Korisnici!L134+Korisnici!L135</f>
        <v>230000</v>
      </c>
      <c r="J144" s="877">
        <f>Korisnici!M134+Korisnici!M135</f>
        <v>310000</v>
      </c>
      <c r="K144" s="877">
        <f>Korisnici!N134+Korisnici!N135</f>
        <v>410000</v>
      </c>
      <c r="L144" s="889">
        <f t="shared" si="30"/>
        <v>0</v>
      </c>
      <c r="M144" s="828"/>
      <c r="N144" s="748"/>
      <c r="O144" s="748"/>
      <c r="P144" s="748"/>
    </row>
    <row r="145" spans="1:16" s="183" customFormat="1" ht="31.5" customHeight="1" x14ac:dyDescent="0.25">
      <c r="A145" s="678">
        <v>311112</v>
      </c>
      <c r="B145" s="177" t="s">
        <v>564</v>
      </c>
      <c r="C145" s="78">
        <f>Korisnici!F100+Korisnici!F135</f>
        <v>0</v>
      </c>
      <c r="D145" s="78">
        <f>Korisnici!G100+Korisnici!G135</f>
        <v>66000</v>
      </c>
      <c r="E145" s="78">
        <f>Korisnici!H100+Korisnici!H688</f>
        <v>66000</v>
      </c>
      <c r="F145" s="889">
        <f>Korisnici!I100+Korisnici!I688</f>
        <v>0</v>
      </c>
      <c r="G145" s="889">
        <f>Korisnici!J100+Korisnici!J688</f>
        <v>0</v>
      </c>
      <c r="H145" s="889">
        <f>Korisnici!K100+Korisnici!K688</f>
        <v>0</v>
      </c>
      <c r="I145" s="889">
        <f>Korisnici!L100+Korisnici!L688</f>
        <v>66000</v>
      </c>
      <c r="J145" s="889">
        <f>Korisnici!M100+Korisnici!M688</f>
        <v>66000</v>
      </c>
      <c r="K145" s="889">
        <f>Korisnici!N100+Korisnici!N688</f>
        <v>66000</v>
      </c>
      <c r="L145" s="889">
        <f t="shared" si="30"/>
        <v>0</v>
      </c>
      <c r="M145" s="828"/>
      <c r="N145" s="748"/>
      <c r="O145" s="748"/>
      <c r="P145" s="748"/>
    </row>
    <row r="146" spans="1:16" s="183" customFormat="1" ht="6.75" customHeight="1" x14ac:dyDescent="0.25">
      <c r="A146" s="100"/>
      <c r="B146" s="245"/>
      <c r="C146" s="245"/>
      <c r="D146" s="245"/>
      <c r="E146" s="301"/>
      <c r="F146" s="301"/>
      <c r="G146" s="301"/>
      <c r="H146" s="301"/>
      <c r="I146" s="301"/>
      <c r="J146" s="301"/>
      <c r="K146" s="301"/>
      <c r="L146" s="743"/>
      <c r="M146" s="828"/>
      <c r="N146" s="748"/>
      <c r="O146" s="748"/>
      <c r="P146" s="748"/>
    </row>
    <row r="147" spans="1:16" s="183" customFormat="1" ht="14.25" customHeight="1" x14ac:dyDescent="0.25">
      <c r="L147" s="742"/>
      <c r="M147" s="828"/>
      <c r="N147" s="748"/>
      <c r="O147" s="748"/>
      <c r="P147" s="748"/>
    </row>
    <row r="148" spans="1:16" ht="8.25" customHeight="1" x14ac:dyDescent="0.25">
      <c r="A148" s="66"/>
      <c r="B148" s="180"/>
      <c r="C148" s="180"/>
      <c r="D148" s="180"/>
      <c r="E148" s="70"/>
      <c r="F148" s="70"/>
      <c r="G148" s="70"/>
      <c r="H148" s="70"/>
      <c r="I148" s="70"/>
      <c r="J148" s="70"/>
      <c r="K148" s="70"/>
    </row>
    <row r="149" spans="1:16" ht="15.75" x14ac:dyDescent="0.25">
      <c r="A149" s="1067" t="s">
        <v>263</v>
      </c>
      <c r="B149" s="1067"/>
      <c r="C149" s="1067"/>
      <c r="D149" s="1067"/>
      <c r="E149" s="1067"/>
      <c r="F149" s="1067"/>
      <c r="G149" s="1067"/>
      <c r="H149" s="1067"/>
      <c r="I149" s="1067"/>
      <c r="J149" s="1067"/>
      <c r="K149" s="1067"/>
    </row>
    <row r="150" spans="1:16" x14ac:dyDescent="0.2">
      <c r="A150" s="1068" t="s">
        <v>565</v>
      </c>
      <c r="B150" s="1068"/>
      <c r="C150" s="1068"/>
      <c r="D150" s="1068"/>
      <c r="E150" s="1068"/>
      <c r="F150" s="1068"/>
      <c r="G150" s="1068"/>
      <c r="H150" s="1068"/>
      <c r="I150" s="1068"/>
      <c r="J150" s="1068"/>
      <c r="K150" s="676"/>
    </row>
    <row r="151" spans="1:16" x14ac:dyDescent="0.2">
      <c r="A151" s="181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</row>
    <row r="152" spans="1:16" x14ac:dyDescent="0.2">
      <c r="A152" s="181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</row>
    <row r="153" spans="1:16" x14ac:dyDescent="0.2">
      <c r="A153" s="181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</row>
    <row r="154" spans="1:16" x14ac:dyDescent="0.2">
      <c r="A154" s="181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</row>
    <row r="155" spans="1:16" x14ac:dyDescent="0.2">
      <c r="A155" s="181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</row>
    <row r="156" spans="1:16" x14ac:dyDescent="0.2">
      <c r="A156" s="181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</row>
    <row r="157" spans="1:16" x14ac:dyDescent="0.2">
      <c r="A157" s="181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</row>
    <row r="158" spans="1:16" x14ac:dyDescent="0.2">
      <c r="A158" s="181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</row>
    <row r="159" spans="1:16" x14ac:dyDescent="0.2">
      <c r="A159" s="181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</row>
    <row r="160" spans="1:16" x14ac:dyDescent="0.2">
      <c r="A160" s="181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</row>
    <row r="161" spans="1:11" x14ac:dyDescent="0.2">
      <c r="A161" s="181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</row>
    <row r="162" spans="1:11" x14ac:dyDescent="0.2">
      <c r="A162" s="181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</row>
    <row r="163" spans="1:11" x14ac:dyDescent="0.2">
      <c r="A163" s="181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</row>
    <row r="164" spans="1:11" x14ac:dyDescent="0.2">
      <c r="A164" s="181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</row>
    <row r="165" spans="1:11" x14ac:dyDescent="0.2">
      <c r="A165" s="181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</row>
    <row r="166" spans="1:11" x14ac:dyDescent="0.2">
      <c r="A166" s="181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</row>
    <row r="167" spans="1:11" x14ac:dyDescent="0.2">
      <c r="A167" s="181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</row>
    <row r="168" spans="1:11" x14ac:dyDescent="0.2">
      <c r="A168" s="181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</row>
    <row r="169" spans="1:11" x14ac:dyDescent="0.2">
      <c r="A169" s="181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</row>
    <row r="170" spans="1:11" x14ac:dyDescent="0.2">
      <c r="A170" s="181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</row>
    <row r="171" spans="1:11" x14ac:dyDescent="0.2">
      <c r="A171" s="181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</row>
    <row r="172" spans="1:11" x14ac:dyDescent="0.2">
      <c r="A172" s="181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</row>
    <row r="173" spans="1:11" x14ac:dyDescent="0.2">
      <c r="A173" s="181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</row>
    <row r="174" spans="1:11" x14ac:dyDescent="0.2">
      <c r="A174" s="181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</row>
    <row r="175" spans="1:11" x14ac:dyDescent="0.2">
      <c r="A175" s="181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</row>
    <row r="176" spans="1:11" x14ac:dyDescent="0.2">
      <c r="A176" s="181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</row>
    <row r="177" spans="1:11" x14ac:dyDescent="0.2">
      <c r="A177" s="181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</row>
    <row r="178" spans="1:11" x14ac:dyDescent="0.2">
      <c r="A178" s="181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</row>
    <row r="179" spans="1:11" x14ac:dyDescent="0.2">
      <c r="A179" s="181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</row>
    <row r="180" spans="1:11" x14ac:dyDescent="0.2">
      <c r="A180" s="181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</row>
    <row r="181" spans="1:11" x14ac:dyDescent="0.2">
      <c r="A181" s="181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</row>
    <row r="182" spans="1:11" x14ac:dyDescent="0.2">
      <c r="A182" s="181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</row>
    <row r="183" spans="1:11" x14ac:dyDescent="0.2">
      <c r="A183" s="181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</row>
    <row r="184" spans="1:11" x14ac:dyDescent="0.2">
      <c r="A184" s="181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</row>
    <row r="185" spans="1:11" x14ac:dyDescent="0.2">
      <c r="A185" s="181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</row>
    <row r="186" spans="1:11" x14ac:dyDescent="0.2">
      <c r="A186" s="181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</row>
    <row r="187" spans="1:11" x14ac:dyDescent="0.2">
      <c r="A187" s="181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</row>
    <row r="188" spans="1:11" x14ac:dyDescent="0.2">
      <c r="A188" s="181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</row>
    <row r="189" spans="1:11" x14ac:dyDescent="0.2">
      <c r="A189" s="181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</row>
    <row r="190" spans="1:11" x14ac:dyDescent="0.2">
      <c r="A190" s="181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</row>
    <row r="191" spans="1:11" x14ac:dyDescent="0.2">
      <c r="A191" s="181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</row>
    <row r="192" spans="1:11" x14ac:dyDescent="0.2">
      <c r="A192" s="181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</row>
    <row r="193" spans="1:11" x14ac:dyDescent="0.2">
      <c r="A193" s="181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</row>
    <row r="194" spans="1:11" x14ac:dyDescent="0.2">
      <c r="A194" s="181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</row>
    <row r="195" spans="1:11" x14ac:dyDescent="0.2">
      <c r="A195" s="181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</row>
    <row r="196" spans="1:11" x14ac:dyDescent="0.2">
      <c r="A196" s="181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</row>
    <row r="197" spans="1:11" x14ac:dyDescent="0.2">
      <c r="A197" s="181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</row>
    <row r="198" spans="1:11" x14ac:dyDescent="0.2">
      <c r="A198" s="181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</row>
    <row r="199" spans="1:11" x14ac:dyDescent="0.2">
      <c r="A199" s="181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</row>
    <row r="200" spans="1:11" x14ac:dyDescent="0.2"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</row>
    <row r="201" spans="1:11" x14ac:dyDescent="0.2"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</row>
    <row r="202" spans="1:11" x14ac:dyDescent="0.2"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</row>
    <row r="203" spans="1:11" x14ac:dyDescent="0.2"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</row>
    <row r="204" spans="1:11" x14ac:dyDescent="0.2"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</row>
    <row r="205" spans="1:11" x14ac:dyDescent="0.2"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</row>
    <row r="206" spans="1:11" x14ac:dyDescent="0.2"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</row>
    <row r="207" spans="1:11" x14ac:dyDescent="0.2"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</row>
    <row r="208" spans="1:11" x14ac:dyDescent="0.2"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</row>
    <row r="209" spans="2:11" x14ac:dyDescent="0.2"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</row>
    <row r="210" spans="2:11" x14ac:dyDescent="0.2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</row>
    <row r="211" spans="2:11" x14ac:dyDescent="0.2"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</row>
    <row r="212" spans="2:11" x14ac:dyDescent="0.2"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</row>
    <row r="213" spans="2:11" x14ac:dyDescent="0.2"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</row>
    <row r="214" spans="2:11" x14ac:dyDescent="0.2"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</row>
    <row r="215" spans="2:11" x14ac:dyDescent="0.2"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</row>
    <row r="216" spans="2:11" x14ac:dyDescent="0.2"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</row>
    <row r="217" spans="2:11" x14ac:dyDescent="0.2"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</row>
    <row r="218" spans="2:11" x14ac:dyDescent="0.2"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</row>
    <row r="219" spans="2:11" x14ac:dyDescent="0.2"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</row>
    <row r="220" spans="2:11" x14ac:dyDescent="0.2"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</row>
    <row r="221" spans="2:11" x14ac:dyDescent="0.2"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</row>
    <row r="222" spans="2:11" x14ac:dyDescent="0.2"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</row>
    <row r="223" spans="2:11" x14ac:dyDescent="0.2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</row>
    <row r="224" spans="2:11" x14ac:dyDescent="0.2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</row>
    <row r="225" spans="2:11" x14ac:dyDescent="0.2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</row>
    <row r="226" spans="2:11" x14ac:dyDescent="0.2"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</row>
    <row r="227" spans="2:11" x14ac:dyDescent="0.2"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</row>
    <row r="228" spans="2:11" x14ac:dyDescent="0.2"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</row>
    <row r="229" spans="2:11" x14ac:dyDescent="0.2"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</row>
    <row r="230" spans="2:11" x14ac:dyDescent="0.2"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</row>
    <row r="231" spans="2:11" x14ac:dyDescent="0.2"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</row>
    <row r="232" spans="2:11" x14ac:dyDescent="0.2"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</row>
    <row r="233" spans="2:11" x14ac:dyDescent="0.2"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</row>
    <row r="234" spans="2:11" x14ac:dyDescent="0.2"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</row>
    <row r="235" spans="2:11" x14ac:dyDescent="0.2"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</row>
    <row r="236" spans="2:11" x14ac:dyDescent="0.2"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</row>
    <row r="237" spans="2:11" x14ac:dyDescent="0.2"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</row>
    <row r="238" spans="2:11" x14ac:dyDescent="0.2"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</row>
    <row r="239" spans="2:11" x14ac:dyDescent="0.2"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</row>
    <row r="240" spans="2:11" x14ac:dyDescent="0.2"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</row>
    <row r="241" spans="2:11" x14ac:dyDescent="0.2"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</row>
    <row r="242" spans="2:11" x14ac:dyDescent="0.2"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</row>
    <row r="243" spans="2:11" x14ac:dyDescent="0.2"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</row>
    <row r="244" spans="2:11" x14ac:dyDescent="0.2"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</row>
    <row r="245" spans="2:11" x14ac:dyDescent="0.2"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</row>
    <row r="246" spans="2:11" x14ac:dyDescent="0.2"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</row>
    <row r="247" spans="2:11" x14ac:dyDescent="0.2"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</row>
    <row r="248" spans="2:11" x14ac:dyDescent="0.2"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</row>
    <row r="249" spans="2:11" x14ac:dyDescent="0.2"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</row>
    <row r="250" spans="2:11" x14ac:dyDescent="0.2"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</row>
    <row r="251" spans="2:11" x14ac:dyDescent="0.2"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</row>
    <row r="252" spans="2:11" x14ac:dyDescent="0.2"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</row>
    <row r="253" spans="2:11" x14ac:dyDescent="0.2"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</row>
    <row r="254" spans="2:11" x14ac:dyDescent="0.2"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</row>
    <row r="255" spans="2:11" x14ac:dyDescent="0.2"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</row>
    <row r="256" spans="2:11" x14ac:dyDescent="0.2"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</row>
    <row r="257" spans="2:11" x14ac:dyDescent="0.2"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</row>
    <row r="258" spans="2:11" x14ac:dyDescent="0.2"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</row>
    <row r="259" spans="2:11" x14ac:dyDescent="0.2"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</row>
    <row r="260" spans="2:11" x14ac:dyDescent="0.2"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</row>
    <row r="261" spans="2:11" x14ac:dyDescent="0.2"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</row>
    <row r="262" spans="2:11" x14ac:dyDescent="0.2"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</row>
    <row r="263" spans="2:11" x14ac:dyDescent="0.2"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</row>
    <row r="264" spans="2:11" x14ac:dyDescent="0.2"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</row>
    <row r="265" spans="2:11" x14ac:dyDescent="0.2"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</row>
    <row r="266" spans="2:11" x14ac:dyDescent="0.2"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</row>
    <row r="267" spans="2:11" x14ac:dyDescent="0.2"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</row>
    <row r="268" spans="2:11" x14ac:dyDescent="0.2"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</row>
    <row r="269" spans="2:11" x14ac:dyDescent="0.2"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</row>
    <row r="270" spans="2:11" x14ac:dyDescent="0.2"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</row>
    <row r="271" spans="2:11" x14ac:dyDescent="0.2"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</row>
    <row r="272" spans="2:11" x14ac:dyDescent="0.2"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</row>
    <row r="273" spans="2:11" x14ac:dyDescent="0.2"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</row>
    <row r="274" spans="2:11" x14ac:dyDescent="0.2"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</row>
    <row r="275" spans="2:11" x14ac:dyDescent="0.2"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</row>
    <row r="276" spans="2:11" x14ac:dyDescent="0.2"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</row>
    <row r="277" spans="2:11" x14ac:dyDescent="0.2"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</row>
    <row r="278" spans="2:11" x14ac:dyDescent="0.2"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</row>
    <row r="279" spans="2:11" x14ac:dyDescent="0.2"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</row>
    <row r="280" spans="2:11" x14ac:dyDescent="0.2"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</row>
    <row r="281" spans="2:11" x14ac:dyDescent="0.2"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</row>
    <row r="282" spans="2:11" x14ac:dyDescent="0.2"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</row>
    <row r="283" spans="2:11" x14ac:dyDescent="0.2"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</row>
    <row r="284" spans="2:11" x14ac:dyDescent="0.2"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</row>
    <row r="285" spans="2:11" x14ac:dyDescent="0.2"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</row>
    <row r="286" spans="2:11" x14ac:dyDescent="0.2"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</row>
    <row r="287" spans="2:11" x14ac:dyDescent="0.2"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</row>
    <row r="288" spans="2:11" x14ac:dyDescent="0.2"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</row>
    <row r="289" spans="2:11" x14ac:dyDescent="0.2"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</row>
    <row r="290" spans="2:11" x14ac:dyDescent="0.2"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</row>
    <row r="291" spans="2:11" x14ac:dyDescent="0.2"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</row>
    <row r="292" spans="2:11" x14ac:dyDescent="0.2"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</row>
    <row r="293" spans="2:11" x14ac:dyDescent="0.2"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</row>
    <row r="294" spans="2:11" x14ac:dyDescent="0.2"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</row>
    <row r="295" spans="2:11" x14ac:dyDescent="0.2"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</row>
    <row r="296" spans="2:11" x14ac:dyDescent="0.2"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</row>
    <row r="297" spans="2:11" x14ac:dyDescent="0.2"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</row>
    <row r="298" spans="2:11" x14ac:dyDescent="0.2"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</row>
    <row r="299" spans="2:11" x14ac:dyDescent="0.2"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</row>
    <row r="300" spans="2:11" x14ac:dyDescent="0.2"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</row>
    <row r="301" spans="2:11" x14ac:dyDescent="0.2"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</row>
    <row r="302" spans="2:11" x14ac:dyDescent="0.2"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</row>
    <row r="303" spans="2:11" x14ac:dyDescent="0.2"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</row>
    <row r="304" spans="2:11" x14ac:dyDescent="0.2"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</row>
    <row r="305" spans="2:11" x14ac:dyDescent="0.2"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</row>
    <row r="306" spans="2:11" x14ac:dyDescent="0.2"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</row>
    <row r="307" spans="2:11" x14ac:dyDescent="0.2"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</row>
    <row r="308" spans="2:11" x14ac:dyDescent="0.2"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</row>
    <row r="309" spans="2:11" x14ac:dyDescent="0.2"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</row>
    <row r="310" spans="2:11" x14ac:dyDescent="0.2"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</row>
    <row r="311" spans="2:11" x14ac:dyDescent="0.2"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</row>
    <row r="312" spans="2:11" x14ac:dyDescent="0.2"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</row>
    <row r="313" spans="2:11" x14ac:dyDescent="0.2"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</row>
    <row r="314" spans="2:11" x14ac:dyDescent="0.2"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</row>
    <row r="315" spans="2:11" x14ac:dyDescent="0.2"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</row>
    <row r="316" spans="2:11" x14ac:dyDescent="0.2"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</row>
    <row r="317" spans="2:11" x14ac:dyDescent="0.2"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</row>
    <row r="318" spans="2:11" x14ac:dyDescent="0.2"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</row>
    <row r="319" spans="2:11" x14ac:dyDescent="0.2"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</row>
    <row r="320" spans="2:11" x14ac:dyDescent="0.2"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</row>
    <row r="321" spans="2:11" x14ac:dyDescent="0.2"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</row>
    <row r="322" spans="2:11" x14ac:dyDescent="0.2"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</row>
    <row r="323" spans="2:11" x14ac:dyDescent="0.2"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</row>
    <row r="324" spans="2:11" x14ac:dyDescent="0.2"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</row>
    <row r="325" spans="2:11" x14ac:dyDescent="0.2"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</row>
    <row r="326" spans="2:11" x14ac:dyDescent="0.2"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</row>
    <row r="327" spans="2:11" x14ac:dyDescent="0.2"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</row>
    <row r="328" spans="2:11" x14ac:dyDescent="0.2"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</row>
    <row r="329" spans="2:11" x14ac:dyDescent="0.2"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</row>
    <row r="330" spans="2:11" x14ac:dyDescent="0.2"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</row>
    <row r="331" spans="2:11" x14ac:dyDescent="0.2"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</row>
    <row r="332" spans="2:11" x14ac:dyDescent="0.2"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</row>
    <row r="333" spans="2:11" x14ac:dyDescent="0.2"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</row>
    <row r="334" spans="2:11" x14ac:dyDescent="0.2"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</row>
    <row r="335" spans="2:11" x14ac:dyDescent="0.2"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</row>
    <row r="336" spans="2:11" x14ac:dyDescent="0.2"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</row>
    <row r="337" spans="2:11" x14ac:dyDescent="0.2"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</row>
    <row r="338" spans="2:11" x14ac:dyDescent="0.2"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</row>
    <row r="339" spans="2:11" x14ac:dyDescent="0.2"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</row>
    <row r="340" spans="2:11" x14ac:dyDescent="0.2"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</row>
    <row r="341" spans="2:11" x14ac:dyDescent="0.2"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</row>
    <row r="342" spans="2:11" x14ac:dyDescent="0.2"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</row>
    <row r="343" spans="2:11" x14ac:dyDescent="0.2"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</row>
    <row r="344" spans="2:11" x14ac:dyDescent="0.2"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</row>
    <row r="345" spans="2:11" x14ac:dyDescent="0.2"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</row>
    <row r="346" spans="2:11" x14ac:dyDescent="0.2"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</row>
    <row r="347" spans="2:11" x14ac:dyDescent="0.2"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</row>
    <row r="348" spans="2:11" x14ac:dyDescent="0.2"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</row>
    <row r="349" spans="2:11" x14ac:dyDescent="0.2"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</row>
    <row r="350" spans="2:11" x14ac:dyDescent="0.2"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</row>
    <row r="351" spans="2:11" x14ac:dyDescent="0.2"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</row>
    <row r="352" spans="2:11" x14ac:dyDescent="0.2"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</row>
    <row r="353" spans="2:11" x14ac:dyDescent="0.2"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</row>
    <row r="354" spans="2:11" x14ac:dyDescent="0.2"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</row>
    <row r="355" spans="2:11" x14ac:dyDescent="0.2"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</row>
    <row r="356" spans="2:11" x14ac:dyDescent="0.2"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</row>
    <row r="357" spans="2:11" x14ac:dyDescent="0.2"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</row>
    <row r="358" spans="2:11" x14ac:dyDescent="0.2"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</row>
    <row r="359" spans="2:11" x14ac:dyDescent="0.2"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</row>
    <row r="360" spans="2:11" x14ac:dyDescent="0.2"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</row>
    <row r="361" spans="2:11" x14ac:dyDescent="0.2"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</row>
    <row r="362" spans="2:11" x14ac:dyDescent="0.2"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</row>
    <row r="363" spans="2:11" x14ac:dyDescent="0.2"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</row>
    <row r="364" spans="2:11" x14ac:dyDescent="0.2"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</row>
    <row r="365" spans="2:11" x14ac:dyDescent="0.2"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</row>
    <row r="366" spans="2:11" x14ac:dyDescent="0.2"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</row>
    <row r="367" spans="2:11" x14ac:dyDescent="0.2"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</row>
    <row r="368" spans="2:11" x14ac:dyDescent="0.2"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</row>
    <row r="369" spans="2:11" x14ac:dyDescent="0.2"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</row>
    <row r="370" spans="2:11" x14ac:dyDescent="0.2"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</row>
    <row r="371" spans="2:11" x14ac:dyDescent="0.2"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</row>
    <row r="372" spans="2:11" x14ac:dyDescent="0.2"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</row>
    <row r="373" spans="2:11" x14ac:dyDescent="0.2"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</row>
    <row r="374" spans="2:11" x14ac:dyDescent="0.2"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</row>
    <row r="375" spans="2:11" x14ac:dyDescent="0.2"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</row>
    <row r="376" spans="2:11" x14ac:dyDescent="0.2"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</row>
    <row r="377" spans="2:11" x14ac:dyDescent="0.2"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</row>
    <row r="378" spans="2:11" x14ac:dyDescent="0.2"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</row>
    <row r="379" spans="2:11" x14ac:dyDescent="0.2"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</row>
    <row r="380" spans="2:11" x14ac:dyDescent="0.2"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</row>
    <row r="381" spans="2:11" x14ac:dyDescent="0.2"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</row>
    <row r="382" spans="2:11" x14ac:dyDescent="0.2"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</row>
    <row r="383" spans="2:11" x14ac:dyDescent="0.2"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</row>
    <row r="384" spans="2:11" x14ac:dyDescent="0.2"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</row>
    <row r="385" spans="2:11" x14ac:dyDescent="0.2"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</row>
    <row r="386" spans="2:11" x14ac:dyDescent="0.2"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</row>
    <row r="387" spans="2:11" x14ac:dyDescent="0.2"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</row>
    <row r="388" spans="2:11" x14ac:dyDescent="0.2"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</row>
    <row r="389" spans="2:11" x14ac:dyDescent="0.2"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</row>
    <row r="390" spans="2:11" x14ac:dyDescent="0.2"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</row>
    <row r="391" spans="2:11" x14ac:dyDescent="0.2"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</row>
    <row r="392" spans="2:11" x14ac:dyDescent="0.2"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</row>
    <row r="393" spans="2:11" x14ac:dyDescent="0.2"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</row>
    <row r="394" spans="2:11" x14ac:dyDescent="0.2"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</row>
    <row r="395" spans="2:11" x14ac:dyDescent="0.2"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</row>
    <row r="396" spans="2:11" x14ac:dyDescent="0.2"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</row>
    <row r="397" spans="2:11" x14ac:dyDescent="0.2"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</row>
    <row r="398" spans="2:11" x14ac:dyDescent="0.2"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</row>
    <row r="399" spans="2:11" x14ac:dyDescent="0.2"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</row>
    <row r="400" spans="2:11" x14ac:dyDescent="0.2"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</row>
    <row r="401" spans="2:11" x14ac:dyDescent="0.2"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</row>
    <row r="402" spans="2:11" x14ac:dyDescent="0.2"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</row>
    <row r="403" spans="2:11" x14ac:dyDescent="0.2"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</row>
    <row r="404" spans="2:11" x14ac:dyDescent="0.2"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</row>
    <row r="405" spans="2:11" x14ac:dyDescent="0.2"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</row>
    <row r="406" spans="2:11" x14ac:dyDescent="0.2"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</row>
    <row r="407" spans="2:11" x14ac:dyDescent="0.2"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</row>
    <row r="408" spans="2:11" x14ac:dyDescent="0.2"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</row>
    <row r="409" spans="2:11" x14ac:dyDescent="0.2">
      <c r="B409" s="182"/>
      <c r="C409" s="182"/>
      <c r="D409" s="182"/>
      <c r="E409" s="182"/>
      <c r="F409" s="182"/>
      <c r="G409" s="182"/>
      <c r="H409" s="182"/>
      <c r="I409" s="182"/>
      <c r="J409" s="182"/>
      <c r="K409" s="182"/>
    </row>
    <row r="410" spans="2:11" x14ac:dyDescent="0.2">
      <c r="B410" s="182"/>
      <c r="C410" s="182"/>
      <c r="D410" s="182"/>
      <c r="E410" s="182"/>
      <c r="F410" s="182"/>
      <c r="G410" s="182"/>
      <c r="H410" s="182"/>
      <c r="I410" s="182"/>
      <c r="J410" s="182"/>
      <c r="K410" s="182"/>
    </row>
    <row r="411" spans="2:11" x14ac:dyDescent="0.2"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</row>
    <row r="412" spans="2:11" x14ac:dyDescent="0.2">
      <c r="B412" s="182"/>
      <c r="C412" s="182"/>
      <c r="D412" s="182"/>
      <c r="E412" s="182"/>
      <c r="F412" s="182"/>
      <c r="G412" s="182"/>
      <c r="H412" s="182"/>
      <c r="I412" s="182"/>
      <c r="J412" s="182"/>
      <c r="K412" s="182"/>
    </row>
    <row r="413" spans="2:11" x14ac:dyDescent="0.2">
      <c r="B413" s="182"/>
      <c r="C413" s="182"/>
      <c r="D413" s="182"/>
      <c r="E413" s="182"/>
      <c r="F413" s="182"/>
      <c r="G413" s="182"/>
      <c r="H413" s="182"/>
      <c r="I413" s="182"/>
      <c r="J413" s="182"/>
      <c r="K413" s="182"/>
    </row>
    <row r="414" spans="2:11" x14ac:dyDescent="0.2">
      <c r="B414" s="182"/>
      <c r="C414" s="182"/>
      <c r="D414" s="182"/>
      <c r="E414" s="182"/>
      <c r="F414" s="182"/>
      <c r="G414" s="182"/>
      <c r="H414" s="182"/>
      <c r="I414" s="182"/>
      <c r="J414" s="182"/>
      <c r="K414" s="182"/>
    </row>
    <row r="415" spans="2:11" x14ac:dyDescent="0.2">
      <c r="B415" s="182"/>
      <c r="C415" s="182"/>
      <c r="D415" s="182"/>
      <c r="E415" s="182"/>
      <c r="F415" s="182"/>
      <c r="G415" s="182"/>
      <c r="H415" s="182"/>
      <c r="I415" s="182"/>
      <c r="J415" s="182"/>
      <c r="K415" s="182"/>
    </row>
    <row r="416" spans="2:11" x14ac:dyDescent="0.2">
      <c r="B416" s="182"/>
      <c r="C416" s="182"/>
      <c r="D416" s="182"/>
      <c r="E416" s="182"/>
      <c r="F416" s="182"/>
      <c r="G416" s="182"/>
      <c r="H416" s="182"/>
      <c r="I416" s="182"/>
      <c r="J416" s="182"/>
      <c r="K416" s="182"/>
    </row>
    <row r="417" spans="2:11" x14ac:dyDescent="0.2">
      <c r="B417" s="182"/>
      <c r="C417" s="182"/>
      <c r="D417" s="182"/>
      <c r="E417" s="182"/>
      <c r="F417" s="182"/>
      <c r="G417" s="182"/>
      <c r="H417" s="182"/>
      <c r="I417" s="182"/>
      <c r="J417" s="182"/>
      <c r="K417" s="182"/>
    </row>
    <row r="418" spans="2:11" x14ac:dyDescent="0.2">
      <c r="B418" s="182"/>
      <c r="C418" s="182"/>
      <c r="D418" s="182"/>
      <c r="E418" s="182"/>
      <c r="F418" s="182"/>
      <c r="G418" s="182"/>
      <c r="H418" s="182"/>
      <c r="I418" s="182"/>
      <c r="J418" s="182"/>
      <c r="K418" s="182"/>
    </row>
    <row r="419" spans="2:11" x14ac:dyDescent="0.2">
      <c r="B419" s="182"/>
      <c r="C419" s="182"/>
      <c r="D419" s="182"/>
      <c r="E419" s="182"/>
      <c r="F419" s="182"/>
      <c r="G419" s="182"/>
      <c r="H419" s="182"/>
      <c r="I419" s="182"/>
      <c r="J419" s="182"/>
      <c r="K419" s="182"/>
    </row>
    <row r="420" spans="2:11" x14ac:dyDescent="0.2">
      <c r="B420" s="182"/>
      <c r="C420" s="182"/>
      <c r="D420" s="182"/>
      <c r="E420" s="182"/>
      <c r="F420" s="182"/>
      <c r="G420" s="182"/>
      <c r="H420" s="182"/>
      <c r="I420" s="182"/>
      <c r="J420" s="182"/>
      <c r="K420" s="182"/>
    </row>
    <row r="421" spans="2:11" x14ac:dyDescent="0.2">
      <c r="B421" s="182"/>
      <c r="C421" s="182"/>
      <c r="D421" s="182"/>
      <c r="E421" s="182"/>
      <c r="F421" s="182"/>
      <c r="G421" s="182"/>
      <c r="H421" s="182"/>
      <c r="I421" s="182"/>
      <c r="J421" s="182"/>
      <c r="K421" s="182"/>
    </row>
    <row r="422" spans="2:11" x14ac:dyDescent="0.2">
      <c r="B422" s="182"/>
      <c r="C422" s="182"/>
      <c r="D422" s="182"/>
      <c r="E422" s="182"/>
      <c r="F422" s="182"/>
      <c r="G422" s="182"/>
      <c r="H422" s="182"/>
      <c r="I422" s="182"/>
      <c r="J422" s="182"/>
      <c r="K422" s="182"/>
    </row>
    <row r="423" spans="2:11" x14ac:dyDescent="0.2">
      <c r="B423" s="182"/>
      <c r="C423" s="182"/>
      <c r="D423" s="182"/>
      <c r="E423" s="182"/>
      <c r="F423" s="182"/>
      <c r="G423" s="182"/>
      <c r="H423" s="182"/>
      <c r="I423" s="182"/>
      <c r="J423" s="182"/>
      <c r="K423" s="182"/>
    </row>
    <row r="424" spans="2:11" x14ac:dyDescent="0.2">
      <c r="B424" s="182"/>
      <c r="C424" s="182"/>
      <c r="D424" s="182"/>
      <c r="E424" s="182"/>
      <c r="F424" s="182"/>
      <c r="G424" s="182"/>
      <c r="H424" s="182"/>
      <c r="I424" s="182"/>
      <c r="J424" s="182"/>
      <c r="K424" s="182"/>
    </row>
    <row r="425" spans="2:11" x14ac:dyDescent="0.2">
      <c r="B425" s="182"/>
      <c r="C425" s="182"/>
      <c r="D425" s="182"/>
      <c r="E425" s="182"/>
      <c r="F425" s="182"/>
      <c r="G425" s="182"/>
      <c r="H425" s="182"/>
      <c r="I425" s="182"/>
      <c r="J425" s="182"/>
      <c r="K425" s="182"/>
    </row>
    <row r="426" spans="2:11" x14ac:dyDescent="0.2">
      <c r="B426" s="182"/>
      <c r="C426" s="182"/>
      <c r="D426" s="182"/>
      <c r="E426" s="182"/>
      <c r="F426" s="182"/>
      <c r="G426" s="182"/>
      <c r="H426" s="182"/>
      <c r="I426" s="182"/>
      <c r="J426" s="182"/>
      <c r="K426" s="182"/>
    </row>
    <row r="427" spans="2:11" x14ac:dyDescent="0.2">
      <c r="B427" s="182"/>
      <c r="C427" s="182"/>
      <c r="D427" s="182"/>
      <c r="E427" s="182"/>
      <c r="F427" s="182"/>
      <c r="G427" s="182"/>
      <c r="H427" s="182"/>
      <c r="I427" s="182"/>
      <c r="J427" s="182"/>
      <c r="K427" s="182"/>
    </row>
    <row r="428" spans="2:11" x14ac:dyDescent="0.2"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</row>
    <row r="429" spans="2:11" x14ac:dyDescent="0.2">
      <c r="B429" s="182"/>
      <c r="C429" s="182"/>
      <c r="D429" s="182"/>
      <c r="E429" s="182"/>
      <c r="F429" s="182"/>
      <c r="G429" s="182"/>
      <c r="H429" s="182"/>
      <c r="I429" s="182"/>
      <c r="J429" s="182"/>
      <c r="K429" s="182"/>
    </row>
    <row r="430" spans="2:11" x14ac:dyDescent="0.2">
      <c r="B430" s="182"/>
      <c r="C430" s="182"/>
      <c r="D430" s="182"/>
      <c r="E430" s="182"/>
      <c r="F430" s="182"/>
      <c r="G430" s="182"/>
      <c r="H430" s="182"/>
      <c r="I430" s="182"/>
      <c r="J430" s="182"/>
      <c r="K430" s="182"/>
    </row>
    <row r="431" spans="2:11" x14ac:dyDescent="0.2">
      <c r="B431" s="182"/>
      <c r="C431" s="182"/>
      <c r="D431" s="182"/>
      <c r="E431" s="182"/>
      <c r="F431" s="182"/>
      <c r="G431" s="182"/>
      <c r="H431" s="182"/>
      <c r="I431" s="182"/>
      <c r="J431" s="182"/>
      <c r="K431" s="182"/>
    </row>
    <row r="432" spans="2:11" x14ac:dyDescent="0.2">
      <c r="B432" s="182"/>
      <c r="C432" s="182"/>
      <c r="D432" s="182"/>
      <c r="E432" s="182"/>
      <c r="F432" s="182"/>
      <c r="G432" s="182"/>
      <c r="H432" s="182"/>
      <c r="I432" s="182"/>
      <c r="J432" s="182"/>
      <c r="K432" s="182"/>
    </row>
    <row r="433" spans="2:11" x14ac:dyDescent="0.2"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</row>
    <row r="434" spans="2:11" x14ac:dyDescent="0.2"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</row>
    <row r="435" spans="2:11" x14ac:dyDescent="0.2">
      <c r="B435" s="182"/>
      <c r="C435" s="182"/>
      <c r="D435" s="182"/>
      <c r="E435" s="182"/>
      <c r="F435" s="182"/>
      <c r="G435" s="182"/>
      <c r="H435" s="182"/>
      <c r="I435" s="182"/>
      <c r="J435" s="182"/>
      <c r="K435" s="182"/>
    </row>
    <row r="436" spans="2:11" x14ac:dyDescent="0.2"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</row>
    <row r="437" spans="2:11" x14ac:dyDescent="0.2">
      <c r="B437" s="182"/>
      <c r="C437" s="182"/>
      <c r="D437" s="182"/>
      <c r="E437" s="182"/>
      <c r="F437" s="182"/>
      <c r="G437" s="182"/>
      <c r="H437" s="182"/>
      <c r="I437" s="182"/>
      <c r="J437" s="182"/>
      <c r="K437" s="182"/>
    </row>
    <row r="438" spans="2:11" x14ac:dyDescent="0.2">
      <c r="B438" s="182"/>
      <c r="C438" s="182"/>
      <c r="D438" s="182"/>
      <c r="E438" s="182"/>
      <c r="F438" s="182"/>
      <c r="G438" s="182"/>
      <c r="H438" s="182"/>
      <c r="I438" s="182"/>
      <c r="J438" s="182"/>
      <c r="K438" s="182"/>
    </row>
    <row r="439" spans="2:11" x14ac:dyDescent="0.2"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</row>
    <row r="440" spans="2:11" x14ac:dyDescent="0.2"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</row>
    <row r="441" spans="2:11" x14ac:dyDescent="0.2"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</row>
    <row r="442" spans="2:11" x14ac:dyDescent="0.2"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</row>
    <row r="443" spans="2:11" x14ac:dyDescent="0.2"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</row>
    <row r="444" spans="2:11" x14ac:dyDescent="0.2"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</row>
    <row r="445" spans="2:11" x14ac:dyDescent="0.2"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</row>
    <row r="446" spans="2:11" x14ac:dyDescent="0.2"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</row>
    <row r="447" spans="2:11" x14ac:dyDescent="0.2"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</row>
    <row r="448" spans="2:11" x14ac:dyDescent="0.2"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</row>
    <row r="449" spans="2:11" x14ac:dyDescent="0.2"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</row>
    <row r="450" spans="2:11" x14ac:dyDescent="0.2"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</row>
    <row r="451" spans="2:11" x14ac:dyDescent="0.2"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</row>
    <row r="452" spans="2:11" x14ac:dyDescent="0.2">
      <c r="B452" s="182"/>
      <c r="C452" s="182"/>
      <c r="D452" s="182"/>
      <c r="E452" s="182"/>
      <c r="F452" s="182"/>
      <c r="G452" s="182"/>
      <c r="H452" s="182"/>
      <c r="I452" s="182"/>
      <c r="J452" s="182"/>
      <c r="K452" s="182"/>
    </row>
    <row r="453" spans="2:11" x14ac:dyDescent="0.2">
      <c r="B453" s="182"/>
      <c r="C453" s="182"/>
      <c r="D453" s="182"/>
      <c r="E453" s="182"/>
      <c r="F453" s="182"/>
      <c r="G453" s="182"/>
      <c r="H453" s="182"/>
      <c r="I453" s="182"/>
      <c r="J453" s="182"/>
      <c r="K453" s="182"/>
    </row>
    <row r="454" spans="2:11" x14ac:dyDescent="0.2">
      <c r="B454" s="182"/>
      <c r="C454" s="182"/>
      <c r="D454" s="182"/>
      <c r="E454" s="182"/>
      <c r="F454" s="182"/>
      <c r="G454" s="182"/>
      <c r="H454" s="182"/>
      <c r="I454" s="182"/>
      <c r="J454" s="182"/>
      <c r="K454" s="182"/>
    </row>
    <row r="455" spans="2:11" x14ac:dyDescent="0.2">
      <c r="B455" s="182"/>
      <c r="C455" s="182"/>
      <c r="D455" s="182"/>
      <c r="E455" s="182"/>
      <c r="F455" s="182"/>
      <c r="G455" s="182"/>
      <c r="H455" s="182"/>
      <c r="I455" s="182"/>
      <c r="J455" s="182"/>
      <c r="K455" s="182"/>
    </row>
    <row r="456" spans="2:11" x14ac:dyDescent="0.2">
      <c r="B456" s="182"/>
      <c r="C456" s="182"/>
      <c r="D456" s="182"/>
      <c r="E456" s="182"/>
      <c r="F456" s="182"/>
      <c r="G456" s="182"/>
      <c r="H456" s="182"/>
      <c r="I456" s="182"/>
      <c r="J456" s="182"/>
      <c r="K456" s="182"/>
    </row>
    <row r="457" spans="2:11" x14ac:dyDescent="0.2">
      <c r="B457" s="182"/>
      <c r="C457" s="182"/>
      <c r="D457" s="182"/>
      <c r="E457" s="182"/>
      <c r="F457" s="182"/>
      <c r="G457" s="182"/>
      <c r="H457" s="182"/>
      <c r="I457" s="182"/>
      <c r="J457" s="182"/>
      <c r="K457" s="182"/>
    </row>
    <row r="458" spans="2:11" x14ac:dyDescent="0.2">
      <c r="B458" s="182"/>
      <c r="C458" s="182"/>
      <c r="D458" s="182"/>
      <c r="E458" s="182"/>
      <c r="F458" s="182"/>
      <c r="G458" s="182"/>
      <c r="H458" s="182"/>
      <c r="I458" s="182"/>
      <c r="J458" s="182"/>
      <c r="K458" s="182"/>
    </row>
    <row r="459" spans="2:11" x14ac:dyDescent="0.2">
      <c r="B459" s="182"/>
      <c r="C459" s="182"/>
      <c r="D459" s="182"/>
      <c r="E459" s="182"/>
      <c r="F459" s="182"/>
      <c r="G459" s="182"/>
      <c r="H459" s="182"/>
      <c r="I459" s="182"/>
      <c r="J459" s="182"/>
      <c r="K459" s="182"/>
    </row>
    <row r="460" spans="2:11" x14ac:dyDescent="0.2"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</row>
    <row r="461" spans="2:11" x14ac:dyDescent="0.2">
      <c r="B461" s="182"/>
      <c r="C461" s="182"/>
      <c r="D461" s="182"/>
      <c r="E461" s="182"/>
      <c r="F461" s="182"/>
      <c r="G461" s="182"/>
      <c r="H461" s="182"/>
      <c r="I461" s="182"/>
      <c r="J461" s="182"/>
      <c r="K461" s="182"/>
    </row>
    <row r="462" spans="2:11" x14ac:dyDescent="0.2">
      <c r="B462" s="182"/>
      <c r="C462" s="182"/>
      <c r="D462" s="182"/>
      <c r="E462" s="182"/>
      <c r="F462" s="182"/>
      <c r="G462" s="182"/>
      <c r="H462" s="182"/>
      <c r="I462" s="182"/>
      <c r="J462" s="182"/>
      <c r="K462" s="182"/>
    </row>
    <row r="463" spans="2:11" x14ac:dyDescent="0.2">
      <c r="B463" s="182"/>
      <c r="C463" s="182"/>
      <c r="D463" s="182"/>
      <c r="E463" s="182"/>
      <c r="F463" s="182"/>
      <c r="G463" s="182"/>
      <c r="H463" s="182"/>
      <c r="I463" s="182"/>
      <c r="J463" s="182"/>
      <c r="K463" s="182"/>
    </row>
    <row r="464" spans="2:11" x14ac:dyDescent="0.2">
      <c r="B464" s="182"/>
      <c r="C464" s="182"/>
      <c r="D464" s="182"/>
      <c r="E464" s="182"/>
      <c r="F464" s="182"/>
      <c r="G464" s="182"/>
      <c r="H464" s="182"/>
      <c r="I464" s="182"/>
      <c r="J464" s="182"/>
      <c r="K464" s="182"/>
    </row>
    <row r="465" spans="2:11" x14ac:dyDescent="0.2">
      <c r="B465" s="182"/>
      <c r="C465" s="182"/>
      <c r="D465" s="182"/>
      <c r="E465" s="182"/>
      <c r="F465" s="182"/>
      <c r="G465" s="182"/>
      <c r="H465" s="182"/>
      <c r="I465" s="182"/>
      <c r="J465" s="182"/>
      <c r="K465" s="182"/>
    </row>
    <row r="466" spans="2:11" x14ac:dyDescent="0.2">
      <c r="B466" s="182"/>
      <c r="C466" s="182"/>
      <c r="D466" s="182"/>
      <c r="E466" s="182"/>
      <c r="F466" s="182"/>
      <c r="G466" s="182"/>
      <c r="H466" s="182"/>
      <c r="I466" s="182"/>
      <c r="J466" s="182"/>
      <c r="K466" s="182"/>
    </row>
    <row r="467" spans="2:11" x14ac:dyDescent="0.2">
      <c r="B467" s="182"/>
      <c r="C467" s="182"/>
      <c r="D467" s="182"/>
      <c r="E467" s="182"/>
      <c r="F467" s="182"/>
      <c r="G467" s="182"/>
      <c r="H467" s="182"/>
      <c r="I467" s="182"/>
      <c r="J467" s="182"/>
      <c r="K467" s="182"/>
    </row>
    <row r="468" spans="2:11" x14ac:dyDescent="0.2">
      <c r="B468" s="182"/>
      <c r="C468" s="182"/>
      <c r="D468" s="182"/>
      <c r="E468" s="182"/>
      <c r="F468" s="182"/>
      <c r="G468" s="182"/>
      <c r="H468" s="182"/>
      <c r="I468" s="182"/>
      <c r="J468" s="182"/>
      <c r="K468" s="182"/>
    </row>
    <row r="469" spans="2:11" x14ac:dyDescent="0.2">
      <c r="B469" s="182"/>
      <c r="C469" s="182"/>
      <c r="D469" s="182"/>
      <c r="E469" s="182"/>
      <c r="F469" s="182"/>
      <c r="G469" s="182"/>
      <c r="H469" s="182"/>
      <c r="I469" s="182"/>
      <c r="J469" s="182"/>
      <c r="K469" s="182"/>
    </row>
    <row r="470" spans="2:11" x14ac:dyDescent="0.2"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</row>
    <row r="471" spans="2:11" x14ac:dyDescent="0.2">
      <c r="B471" s="182"/>
      <c r="C471" s="182"/>
      <c r="D471" s="182"/>
      <c r="E471" s="182"/>
      <c r="F471" s="182"/>
      <c r="G471" s="182"/>
      <c r="H471" s="182"/>
      <c r="I471" s="182"/>
      <c r="J471" s="182"/>
      <c r="K471" s="182"/>
    </row>
    <row r="472" spans="2:11" x14ac:dyDescent="0.2">
      <c r="B472" s="182"/>
      <c r="C472" s="182"/>
      <c r="D472" s="182"/>
      <c r="E472" s="182"/>
      <c r="F472" s="182"/>
      <c r="G472" s="182"/>
      <c r="H472" s="182"/>
      <c r="I472" s="182"/>
      <c r="J472" s="182"/>
      <c r="K472" s="182"/>
    </row>
    <row r="473" spans="2:11" x14ac:dyDescent="0.2">
      <c r="B473" s="182"/>
      <c r="C473" s="182"/>
      <c r="D473" s="182"/>
      <c r="E473" s="182"/>
      <c r="F473" s="182"/>
      <c r="G473" s="182"/>
      <c r="H473" s="182"/>
      <c r="I473" s="182"/>
      <c r="J473" s="182"/>
      <c r="K473" s="182"/>
    </row>
    <row r="474" spans="2:11" x14ac:dyDescent="0.2">
      <c r="B474" s="182"/>
      <c r="C474" s="182"/>
      <c r="D474" s="182"/>
      <c r="E474" s="182"/>
      <c r="F474" s="182"/>
      <c r="G474" s="182"/>
      <c r="H474" s="182"/>
      <c r="I474" s="182"/>
      <c r="J474" s="182"/>
      <c r="K474" s="182"/>
    </row>
    <row r="475" spans="2:11" x14ac:dyDescent="0.2">
      <c r="B475" s="182"/>
      <c r="C475" s="182"/>
      <c r="D475" s="182"/>
      <c r="E475" s="182"/>
      <c r="F475" s="182"/>
      <c r="G475" s="182"/>
      <c r="H475" s="182"/>
      <c r="I475" s="182"/>
      <c r="J475" s="182"/>
      <c r="K475" s="182"/>
    </row>
    <row r="476" spans="2:11" x14ac:dyDescent="0.2">
      <c r="B476" s="182"/>
      <c r="C476" s="182"/>
      <c r="D476" s="182"/>
      <c r="E476" s="182"/>
      <c r="F476" s="182"/>
      <c r="G476" s="182"/>
      <c r="H476" s="182"/>
      <c r="I476" s="182"/>
      <c r="J476" s="182"/>
      <c r="K476" s="182"/>
    </row>
    <row r="477" spans="2:11" x14ac:dyDescent="0.2">
      <c r="B477" s="182"/>
      <c r="C477" s="182"/>
      <c r="D477" s="182"/>
      <c r="E477" s="182"/>
      <c r="F477" s="182"/>
      <c r="G477" s="182"/>
      <c r="H477" s="182"/>
      <c r="I477" s="182"/>
      <c r="J477" s="182"/>
      <c r="K477" s="182"/>
    </row>
    <row r="478" spans="2:11" x14ac:dyDescent="0.2">
      <c r="B478" s="182"/>
      <c r="C478" s="182"/>
      <c r="D478" s="182"/>
      <c r="E478" s="182"/>
      <c r="F478" s="182"/>
      <c r="G478" s="182"/>
      <c r="H478" s="182"/>
      <c r="I478" s="182"/>
      <c r="J478" s="182"/>
      <c r="K478" s="182"/>
    </row>
    <row r="479" spans="2:11" x14ac:dyDescent="0.2"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</row>
    <row r="480" spans="2:11" x14ac:dyDescent="0.2"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</row>
    <row r="481" spans="2:11" x14ac:dyDescent="0.2"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</row>
    <row r="482" spans="2:11" x14ac:dyDescent="0.2">
      <c r="B482" s="182"/>
      <c r="C482" s="182"/>
      <c r="D482" s="182"/>
      <c r="E482" s="182"/>
      <c r="F482" s="182"/>
      <c r="G482" s="182"/>
      <c r="H482" s="182"/>
      <c r="I482" s="182"/>
      <c r="J482" s="182"/>
      <c r="K482" s="182"/>
    </row>
    <row r="483" spans="2:11" x14ac:dyDescent="0.2">
      <c r="B483" s="182"/>
      <c r="C483" s="182"/>
      <c r="D483" s="182"/>
      <c r="E483" s="182"/>
      <c r="F483" s="182"/>
      <c r="G483" s="182"/>
      <c r="H483" s="182"/>
      <c r="I483" s="182"/>
      <c r="J483" s="182"/>
      <c r="K483" s="182"/>
    </row>
    <row r="484" spans="2:11" x14ac:dyDescent="0.2">
      <c r="B484" s="182"/>
      <c r="C484" s="182"/>
      <c r="D484" s="182"/>
      <c r="E484" s="182"/>
      <c r="F484" s="182"/>
      <c r="G484" s="182"/>
      <c r="H484" s="182"/>
      <c r="I484" s="182"/>
      <c r="J484" s="182"/>
      <c r="K484" s="182"/>
    </row>
    <row r="485" spans="2:11" x14ac:dyDescent="0.2">
      <c r="B485" s="182"/>
      <c r="C485" s="182"/>
      <c r="D485" s="182"/>
      <c r="E485" s="182"/>
      <c r="F485" s="182"/>
      <c r="G485" s="182"/>
      <c r="H485" s="182"/>
      <c r="I485" s="182"/>
      <c r="J485" s="182"/>
      <c r="K485" s="182"/>
    </row>
    <row r="486" spans="2:11" x14ac:dyDescent="0.2"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</row>
    <row r="487" spans="2:11" x14ac:dyDescent="0.2"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</row>
    <row r="488" spans="2:11" x14ac:dyDescent="0.2">
      <c r="B488" s="182"/>
      <c r="C488" s="182"/>
      <c r="D488" s="182"/>
      <c r="E488" s="182"/>
      <c r="F488" s="182"/>
      <c r="G488" s="182"/>
      <c r="H488" s="182"/>
      <c r="I488" s="182"/>
      <c r="J488" s="182"/>
      <c r="K488" s="182"/>
    </row>
    <row r="489" spans="2:11" x14ac:dyDescent="0.2"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</row>
    <row r="490" spans="2:11" x14ac:dyDescent="0.2">
      <c r="B490" s="182"/>
      <c r="C490" s="182"/>
      <c r="D490" s="182"/>
      <c r="E490" s="182"/>
      <c r="F490" s="182"/>
      <c r="G490" s="182"/>
      <c r="H490" s="182"/>
      <c r="I490" s="182"/>
      <c r="J490" s="182"/>
      <c r="K490" s="182"/>
    </row>
    <row r="491" spans="2:11" x14ac:dyDescent="0.2">
      <c r="B491" s="182"/>
      <c r="C491" s="182"/>
      <c r="D491" s="182"/>
      <c r="E491" s="182"/>
      <c r="F491" s="182"/>
      <c r="G491" s="182"/>
      <c r="H491" s="182"/>
      <c r="I491" s="182"/>
      <c r="J491" s="182"/>
      <c r="K491" s="182"/>
    </row>
    <row r="492" spans="2:11" x14ac:dyDescent="0.2">
      <c r="B492" s="182"/>
      <c r="C492" s="182"/>
      <c r="D492" s="182"/>
      <c r="E492" s="182"/>
      <c r="F492" s="182"/>
      <c r="G492" s="182"/>
      <c r="H492" s="182"/>
      <c r="I492" s="182"/>
      <c r="J492" s="182"/>
      <c r="K492" s="182"/>
    </row>
    <row r="493" spans="2:11" x14ac:dyDescent="0.2">
      <c r="B493" s="182"/>
      <c r="C493" s="182"/>
      <c r="D493" s="182"/>
      <c r="E493" s="182"/>
      <c r="F493" s="182"/>
      <c r="G493" s="182"/>
      <c r="H493" s="182"/>
      <c r="I493" s="182"/>
      <c r="J493" s="182"/>
      <c r="K493" s="182"/>
    </row>
    <row r="494" spans="2:11" x14ac:dyDescent="0.2">
      <c r="B494" s="182"/>
      <c r="C494" s="182"/>
      <c r="D494" s="182"/>
      <c r="E494" s="182"/>
      <c r="F494" s="182"/>
      <c r="G494" s="182"/>
      <c r="H494" s="182"/>
      <c r="I494" s="182"/>
      <c r="J494" s="182"/>
      <c r="K494" s="182"/>
    </row>
    <row r="495" spans="2:11" x14ac:dyDescent="0.2">
      <c r="B495" s="182"/>
      <c r="C495" s="182"/>
      <c r="D495" s="182"/>
      <c r="E495" s="182"/>
      <c r="F495" s="182"/>
      <c r="G495" s="182"/>
      <c r="H495" s="182"/>
      <c r="I495" s="182"/>
      <c r="J495" s="182"/>
      <c r="K495" s="182"/>
    </row>
    <row r="496" spans="2:11" x14ac:dyDescent="0.2"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</row>
    <row r="497" spans="2:11" x14ac:dyDescent="0.2">
      <c r="B497" s="182"/>
      <c r="C497" s="182"/>
      <c r="D497" s="182"/>
      <c r="E497" s="182"/>
      <c r="F497" s="182"/>
      <c r="G497" s="182"/>
      <c r="H497" s="182"/>
      <c r="I497" s="182"/>
      <c r="J497" s="182"/>
      <c r="K497" s="182"/>
    </row>
    <row r="498" spans="2:11" x14ac:dyDescent="0.2">
      <c r="B498" s="182"/>
      <c r="C498" s="182"/>
      <c r="D498" s="182"/>
      <c r="E498" s="182"/>
      <c r="F498" s="182"/>
      <c r="G498" s="182"/>
      <c r="H498" s="182"/>
      <c r="I498" s="182"/>
      <c r="J498" s="182"/>
      <c r="K498" s="182"/>
    </row>
    <row r="499" spans="2:11" x14ac:dyDescent="0.2">
      <c r="B499" s="182"/>
      <c r="C499" s="182"/>
      <c r="D499" s="182"/>
      <c r="E499" s="182"/>
      <c r="F499" s="182"/>
      <c r="G499" s="182"/>
      <c r="H499" s="182"/>
      <c r="I499" s="182"/>
      <c r="J499" s="182"/>
      <c r="K499" s="182"/>
    </row>
    <row r="500" spans="2:11" x14ac:dyDescent="0.2">
      <c r="B500" s="182"/>
      <c r="C500" s="182"/>
      <c r="D500" s="182"/>
      <c r="E500" s="182"/>
      <c r="F500" s="182"/>
      <c r="G500" s="182"/>
      <c r="H500" s="182"/>
      <c r="I500" s="182"/>
      <c r="J500" s="182"/>
      <c r="K500" s="182"/>
    </row>
    <row r="501" spans="2:11" x14ac:dyDescent="0.2">
      <c r="B501" s="182"/>
      <c r="C501" s="182"/>
      <c r="D501" s="182"/>
      <c r="E501" s="182"/>
      <c r="F501" s="182"/>
      <c r="G501" s="182"/>
      <c r="H501" s="182"/>
      <c r="I501" s="182"/>
      <c r="J501" s="182"/>
      <c r="K501" s="182"/>
    </row>
    <row r="502" spans="2:11" x14ac:dyDescent="0.2">
      <c r="B502" s="182"/>
      <c r="C502" s="182"/>
      <c r="D502" s="182"/>
      <c r="E502" s="182"/>
      <c r="F502" s="182"/>
      <c r="G502" s="182"/>
      <c r="H502" s="182"/>
      <c r="I502" s="182"/>
      <c r="J502" s="182"/>
      <c r="K502" s="182"/>
    </row>
    <row r="503" spans="2:11" x14ac:dyDescent="0.2">
      <c r="B503" s="182"/>
      <c r="C503" s="182"/>
      <c r="D503" s="182"/>
      <c r="E503" s="182"/>
      <c r="F503" s="182"/>
      <c r="G503" s="182"/>
      <c r="H503" s="182"/>
      <c r="I503" s="182"/>
      <c r="J503" s="182"/>
      <c r="K503" s="182"/>
    </row>
    <row r="504" spans="2:11" x14ac:dyDescent="0.2">
      <c r="B504" s="182"/>
      <c r="C504" s="182"/>
      <c r="D504" s="182"/>
      <c r="E504" s="182"/>
      <c r="F504" s="182"/>
      <c r="G504" s="182"/>
      <c r="H504" s="182"/>
      <c r="I504" s="182"/>
      <c r="J504" s="182"/>
      <c r="K504" s="182"/>
    </row>
    <row r="505" spans="2:11" x14ac:dyDescent="0.2">
      <c r="B505" s="182"/>
      <c r="C505" s="182"/>
      <c r="D505" s="182"/>
      <c r="E505" s="182"/>
      <c r="F505" s="182"/>
      <c r="G505" s="182"/>
      <c r="H505" s="182"/>
      <c r="I505" s="182"/>
      <c r="J505" s="182"/>
      <c r="K505" s="182"/>
    </row>
  </sheetData>
  <mergeCells count="10">
    <mergeCell ref="L4:L5"/>
    <mergeCell ref="A149:K149"/>
    <mergeCell ref="A150:J150"/>
    <mergeCell ref="E3:I3"/>
    <mergeCell ref="B4:B5"/>
    <mergeCell ref="J4:K4"/>
    <mergeCell ref="E4:E5"/>
    <mergeCell ref="F4:F5"/>
    <mergeCell ref="G4:G5"/>
    <mergeCell ref="H4:H5"/>
  </mergeCells>
  <phoneticPr fontId="7" type="noConversion"/>
  <printOptions horizontalCentered="1"/>
  <pageMargins left="0.59055118110236227" right="0.39370078740157483" top="0.35433070866141736" bottom="0.39370078740157483" header="0.27559055118110237" footer="0.19685039370078741"/>
  <pageSetup paperSize="9" scale="68" firstPageNumber="7" fitToHeight="4" orientation="landscape" useFirstPageNumber="1" r:id="rId1"/>
  <headerFooter alignWithMargins="0">
    <oddFooter>&amp;C&amp;12-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0"/>
  <sheetViews>
    <sheetView view="pageBreakPreview" zoomScale="70" zoomScaleNormal="70" zoomScaleSheetLayoutView="70" workbookViewId="0">
      <pane ySplit="7" topLeftCell="A521" activePane="bottomLeft" state="frozen"/>
      <selection pane="bottomLeft" activeCell="P529" sqref="P529"/>
    </sheetView>
  </sheetViews>
  <sheetFormatPr defaultRowHeight="15.75" x14ac:dyDescent="0.25"/>
  <cols>
    <col min="1" max="1" width="6" customWidth="1"/>
    <col min="2" max="2" width="6.5703125" customWidth="1"/>
    <col min="4" max="4" width="9.85546875" bestFit="1" customWidth="1"/>
    <col min="5" max="5" width="45.28515625" customWidth="1"/>
    <col min="6" max="7" width="13.140625" customWidth="1"/>
    <col min="8" max="8" width="14" customWidth="1"/>
    <col min="9" max="9" width="12.42578125" customWidth="1"/>
    <col min="10" max="10" width="13" customWidth="1"/>
    <col min="11" max="11" width="12.5703125" customWidth="1"/>
    <col min="12" max="12" width="14" customWidth="1"/>
    <col min="13" max="13" width="13.28515625" style="705" customWidth="1"/>
    <col min="14" max="14" width="13.140625" style="705" customWidth="1"/>
    <col min="15" max="15" width="16.28515625" style="756" customWidth="1"/>
    <col min="16" max="16" width="21.140625" style="755" bestFit="1" customWidth="1"/>
    <col min="17" max="17" width="22.7109375" style="731" customWidth="1"/>
    <col min="18" max="18" width="13.28515625" customWidth="1"/>
    <col min="19" max="19" width="13" customWidth="1"/>
  </cols>
  <sheetData>
    <row r="1" spans="1:14" ht="18" x14ac:dyDescent="0.25">
      <c r="A1" s="1075" t="s">
        <v>414</v>
      </c>
      <c r="B1" s="1075"/>
      <c r="C1" s="1075"/>
      <c r="D1" s="1075"/>
      <c r="E1" s="15"/>
      <c r="F1" s="15"/>
      <c r="G1" s="262"/>
      <c r="H1" s="15"/>
      <c r="I1" s="15"/>
      <c r="J1" s="15"/>
      <c r="K1" s="15"/>
      <c r="L1" s="15"/>
      <c r="M1" s="15"/>
      <c r="N1" s="15"/>
    </row>
    <row r="2" spans="1:14" ht="18" x14ac:dyDescent="0.25">
      <c r="A2" s="1075" t="s">
        <v>110</v>
      </c>
      <c r="B2" s="1075"/>
      <c r="C2" s="1075"/>
      <c r="D2" s="1075"/>
      <c r="E2" s="1075"/>
      <c r="F2" s="1075"/>
      <c r="G2" s="1075"/>
      <c r="H2" s="1075"/>
      <c r="I2" s="1075"/>
      <c r="J2" s="1075"/>
      <c r="K2" s="1075"/>
      <c r="L2" s="1075"/>
      <c r="M2" s="1075"/>
      <c r="N2" s="1075"/>
    </row>
    <row r="3" spans="1:14" ht="18" customHeight="1" x14ac:dyDescent="0.25">
      <c r="A3" s="1075" t="s">
        <v>135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</row>
    <row r="4" spans="1:14" x14ac:dyDescent="0.25">
      <c r="A4" s="13"/>
      <c r="B4" s="288"/>
      <c r="C4" s="15"/>
      <c r="D4" s="24"/>
      <c r="E4" s="25"/>
      <c r="F4" s="25"/>
      <c r="G4" s="253"/>
      <c r="H4" s="25"/>
      <c r="I4" s="25"/>
      <c r="J4" s="25"/>
      <c r="K4" s="25"/>
      <c r="L4" s="25"/>
      <c r="M4" s="25"/>
      <c r="N4" s="25"/>
    </row>
    <row r="5" spans="1:14" x14ac:dyDescent="0.25">
      <c r="A5" s="13"/>
      <c r="B5" s="288"/>
      <c r="C5" s="15"/>
      <c r="D5" s="24"/>
      <c r="E5" s="25"/>
      <c r="F5" s="25"/>
      <c r="H5" s="1078" t="s">
        <v>913</v>
      </c>
      <c r="I5" s="1079"/>
      <c r="J5" s="1079"/>
      <c r="K5" s="1079"/>
      <c r="L5" s="1080"/>
      <c r="M5" s="25"/>
      <c r="N5" s="523" t="s">
        <v>396</v>
      </c>
    </row>
    <row r="6" spans="1:14" ht="71.25" x14ac:dyDescent="0.25">
      <c r="A6" s="370" t="s">
        <v>335</v>
      </c>
      <c r="B6" s="371" t="s">
        <v>342</v>
      </c>
      <c r="C6" s="26" t="s">
        <v>57</v>
      </c>
      <c r="D6" s="26" t="s">
        <v>351</v>
      </c>
      <c r="E6" s="112" t="s">
        <v>10</v>
      </c>
      <c r="F6" s="28" t="s">
        <v>1178</v>
      </c>
      <c r="G6" s="28" t="s">
        <v>1177</v>
      </c>
      <c r="H6" s="28" t="s">
        <v>248</v>
      </c>
      <c r="I6" s="28" t="s">
        <v>249</v>
      </c>
      <c r="J6" s="604" t="s">
        <v>250</v>
      </c>
      <c r="K6" s="28" t="s">
        <v>247</v>
      </c>
      <c r="L6" s="28" t="s">
        <v>909</v>
      </c>
      <c r="M6" s="1076" t="s">
        <v>910</v>
      </c>
      <c r="N6" s="1077"/>
    </row>
    <row r="7" spans="1:14" x14ac:dyDescent="0.25">
      <c r="A7" s="27">
        <v>1</v>
      </c>
      <c r="B7" s="286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86">
        <v>10</v>
      </c>
      <c r="K7" s="27">
        <v>11</v>
      </c>
      <c r="L7" s="27">
        <v>12</v>
      </c>
      <c r="M7" s="27">
        <v>13</v>
      </c>
      <c r="N7" s="27">
        <v>14</v>
      </c>
    </row>
    <row r="8" spans="1:14" x14ac:dyDescent="0.25">
      <c r="A8" s="16"/>
      <c r="B8" s="28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17">
        <v>10</v>
      </c>
      <c r="B9" s="290">
        <v>1001</v>
      </c>
      <c r="C9" s="30"/>
      <c r="D9" s="30"/>
      <c r="E9" s="31" t="s">
        <v>42</v>
      </c>
      <c r="F9" s="31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18"/>
      <c r="B10" s="291"/>
      <c r="C10" s="29"/>
      <c r="D10" s="29"/>
      <c r="E10" s="34"/>
      <c r="F10" s="34"/>
      <c r="G10" s="35"/>
      <c r="H10" s="35"/>
      <c r="I10" s="35"/>
      <c r="J10" s="35"/>
      <c r="K10" s="35"/>
      <c r="L10" s="35"/>
      <c r="M10" s="35"/>
      <c r="N10" s="35"/>
    </row>
    <row r="11" spans="1:14" x14ac:dyDescent="0.25">
      <c r="A11" s="18"/>
      <c r="B11" s="291"/>
      <c r="C11" s="37" t="s">
        <v>215</v>
      </c>
      <c r="D11" s="37">
        <v>613100</v>
      </c>
      <c r="E11" s="38" t="s">
        <v>93</v>
      </c>
      <c r="F11" s="39"/>
      <c r="G11" s="39">
        <v>1500</v>
      </c>
      <c r="H11" s="62">
        <f>2500-1000</f>
        <v>1500</v>
      </c>
      <c r="I11" s="39"/>
      <c r="J11" s="62"/>
      <c r="K11" s="39"/>
      <c r="L11" s="39">
        <f>H11+I11+J11+K11</f>
        <v>1500</v>
      </c>
      <c r="M11" s="39">
        <v>500</v>
      </c>
      <c r="N11" s="39">
        <v>500</v>
      </c>
    </row>
    <row r="12" spans="1:14" x14ac:dyDescent="0.25">
      <c r="A12" s="18"/>
      <c r="B12" s="291"/>
      <c r="C12" s="37" t="s">
        <v>215</v>
      </c>
      <c r="D12" s="37">
        <v>613300</v>
      </c>
      <c r="E12" s="81" t="s">
        <v>381</v>
      </c>
      <c r="F12" s="83">
        <f t="shared" ref="F12:K12" si="0">F13</f>
        <v>0</v>
      </c>
      <c r="G12" s="83">
        <f t="shared" si="0"/>
        <v>600</v>
      </c>
      <c r="H12" s="40">
        <f t="shared" si="0"/>
        <v>800</v>
      </c>
      <c r="I12" s="40">
        <f t="shared" si="0"/>
        <v>0</v>
      </c>
      <c r="J12" s="40">
        <f t="shared" si="0"/>
        <v>0</v>
      </c>
      <c r="K12" s="40">
        <f t="shared" si="0"/>
        <v>0</v>
      </c>
      <c r="L12" s="40">
        <f>H12+I12+J12+K12</f>
        <v>800</v>
      </c>
      <c r="M12" s="83">
        <f>M13</f>
        <v>600</v>
      </c>
      <c r="N12" s="83">
        <f>N13</f>
        <v>600</v>
      </c>
    </row>
    <row r="13" spans="1:14" x14ac:dyDescent="0.25">
      <c r="A13" s="18"/>
      <c r="B13" s="291"/>
      <c r="C13" s="100" t="s">
        <v>215</v>
      </c>
      <c r="D13" s="100">
        <v>613313</v>
      </c>
      <c r="E13" s="444" t="s">
        <v>469</v>
      </c>
      <c r="F13" s="47"/>
      <c r="G13" s="47">
        <v>600</v>
      </c>
      <c r="H13" s="47">
        <f>(50*12)+200</f>
        <v>800</v>
      </c>
      <c r="I13" s="47"/>
      <c r="J13" s="47"/>
      <c r="K13" s="47"/>
      <c r="L13" s="62">
        <f>H13+I13+J13+K13</f>
        <v>800</v>
      </c>
      <c r="M13" s="47">
        <v>600</v>
      </c>
      <c r="N13" s="47">
        <v>600</v>
      </c>
    </row>
    <row r="14" spans="1:14" ht="62.45" customHeight="1" x14ac:dyDescent="0.25">
      <c r="A14" s="18"/>
      <c r="B14" s="291"/>
      <c r="C14" s="37" t="s">
        <v>215</v>
      </c>
      <c r="D14" s="98">
        <v>613400</v>
      </c>
      <c r="E14" s="245" t="s">
        <v>607</v>
      </c>
      <c r="F14" s="45">
        <v>110</v>
      </c>
      <c r="G14" s="45">
        <v>3000</v>
      </c>
      <c r="H14" s="45">
        <f>3000+2000</f>
        <v>5000</v>
      </c>
      <c r="I14" s="45"/>
      <c r="J14" s="47"/>
      <c r="K14" s="45"/>
      <c r="L14" s="39">
        <f>H14+I14+J14+K14</f>
        <v>5000</v>
      </c>
      <c r="M14" s="45">
        <f>1000+1000</f>
        <v>2000</v>
      </c>
      <c r="N14" s="45">
        <f>1000+1000</f>
        <v>2000</v>
      </c>
    </row>
    <row r="15" spans="1:14" x14ac:dyDescent="0.25">
      <c r="A15" s="18"/>
      <c r="B15" s="291"/>
      <c r="C15" s="37" t="s">
        <v>215</v>
      </c>
      <c r="D15" s="43">
        <v>613900</v>
      </c>
      <c r="E15" s="38" t="s">
        <v>470</v>
      </c>
      <c r="F15" s="48">
        <f t="shared" ref="F15:G15" si="1">F16+F17+F18+F21</f>
        <v>331233</v>
      </c>
      <c r="G15" s="48">
        <f t="shared" si="1"/>
        <v>348700</v>
      </c>
      <c r="H15" s="48">
        <f>H16+H17+H18+H21</f>
        <v>358700</v>
      </c>
      <c r="I15" s="48">
        <f>I16+I17+I18+I21</f>
        <v>0</v>
      </c>
      <c r="J15" s="300">
        <f>J16+J17+J18+J21</f>
        <v>0</v>
      </c>
      <c r="K15" s="48">
        <f>K16+K17+K18+K21</f>
        <v>0</v>
      </c>
      <c r="L15" s="48">
        <f>L16+L17+L18+L21</f>
        <v>358700</v>
      </c>
      <c r="M15" s="48">
        <f t="shared" ref="M15:N15" si="2">M16+M17+M18+M21</f>
        <v>329400</v>
      </c>
      <c r="N15" s="48">
        <f t="shared" si="2"/>
        <v>329400</v>
      </c>
    </row>
    <row r="16" spans="1:14" x14ac:dyDescent="0.25">
      <c r="A16" s="18"/>
      <c r="B16" s="291"/>
      <c r="C16" s="37" t="s">
        <v>215</v>
      </c>
      <c r="D16" s="37">
        <v>613914</v>
      </c>
      <c r="E16" s="49" t="s">
        <v>471</v>
      </c>
      <c r="F16" s="50">
        <v>2554</v>
      </c>
      <c r="G16" s="50">
        <f>10000-5000</f>
        <v>5000</v>
      </c>
      <c r="H16" s="47">
        <f>5000+5000</f>
        <v>10000</v>
      </c>
      <c r="I16" s="45"/>
      <c r="J16" s="47"/>
      <c r="K16" s="45"/>
      <c r="L16" s="39">
        <f t="shared" ref="L16:L22" si="3">H16+I16+J16+K16</f>
        <v>10000</v>
      </c>
      <c r="M16" s="50">
        <f>10000-5000</f>
        <v>5000</v>
      </c>
      <c r="N16" s="50">
        <f>10000-5000</f>
        <v>5000</v>
      </c>
    </row>
    <row r="17" spans="1:14" ht="30.75" x14ac:dyDescent="0.25">
      <c r="A17" s="18"/>
      <c r="B17" s="291"/>
      <c r="C17" s="37" t="s">
        <v>215</v>
      </c>
      <c r="D17" s="37">
        <v>613920</v>
      </c>
      <c r="E17" s="86" t="s">
        <v>472</v>
      </c>
      <c r="F17" s="50"/>
      <c r="G17" s="50">
        <v>5000</v>
      </c>
      <c r="H17" s="45">
        <f>5000+5000</f>
        <v>10000</v>
      </c>
      <c r="I17" s="45"/>
      <c r="J17" s="47"/>
      <c r="K17" s="45"/>
      <c r="L17" s="39">
        <f t="shared" si="3"/>
        <v>10000</v>
      </c>
      <c r="M17" s="50">
        <f>2000+3000</f>
        <v>5000</v>
      </c>
      <c r="N17" s="50">
        <f>2000+3000</f>
        <v>5000</v>
      </c>
    </row>
    <row r="18" spans="1:14" x14ac:dyDescent="0.25">
      <c r="A18" s="18"/>
      <c r="B18" s="291"/>
      <c r="C18" s="37" t="s">
        <v>215</v>
      </c>
      <c r="D18" s="37">
        <v>613974</v>
      </c>
      <c r="E18" s="49" t="s">
        <v>473</v>
      </c>
      <c r="F18" s="50">
        <v>73792</v>
      </c>
      <c r="G18" s="50">
        <v>88700</v>
      </c>
      <c r="H18" s="45">
        <f>55000+33700</f>
        <v>88700</v>
      </c>
      <c r="I18" s="45"/>
      <c r="J18" s="47"/>
      <c r="K18" s="45"/>
      <c r="L18" s="39">
        <f t="shared" si="3"/>
        <v>88700</v>
      </c>
      <c r="M18" s="50">
        <f>55000+14400</f>
        <v>69400</v>
      </c>
      <c r="N18" s="50">
        <f>55000+14400</f>
        <v>69400</v>
      </c>
    </row>
    <row r="19" spans="1:14" x14ac:dyDescent="0.25">
      <c r="A19" s="18"/>
      <c r="B19" s="291"/>
      <c r="C19" s="37" t="s">
        <v>215</v>
      </c>
      <c r="D19" s="52"/>
      <c r="E19" s="49" t="s">
        <v>334</v>
      </c>
      <c r="F19" s="53">
        <v>21314</v>
      </c>
      <c r="G19" s="53">
        <v>21000</v>
      </c>
      <c r="H19" s="47">
        <v>21000</v>
      </c>
      <c r="I19" s="45"/>
      <c r="J19" s="47"/>
      <c r="K19" s="45"/>
      <c r="L19" s="62">
        <f t="shared" si="3"/>
        <v>21000</v>
      </c>
      <c r="M19" s="53">
        <v>21000</v>
      </c>
      <c r="N19" s="53">
        <v>21000</v>
      </c>
    </row>
    <row r="20" spans="1:14" x14ac:dyDescent="0.25">
      <c r="A20" s="18"/>
      <c r="B20" s="291"/>
      <c r="C20" s="37"/>
      <c r="D20" s="52"/>
      <c r="E20" s="49" t="s">
        <v>418</v>
      </c>
      <c r="F20" s="53">
        <v>28708</v>
      </c>
      <c r="G20" s="53">
        <v>15600</v>
      </c>
      <c r="H20" s="47">
        <f>(1300*12)+18400</f>
        <v>34000</v>
      </c>
      <c r="I20" s="45"/>
      <c r="J20" s="47"/>
      <c r="K20" s="45"/>
      <c r="L20" s="62">
        <f t="shared" si="3"/>
        <v>34000</v>
      </c>
      <c r="M20" s="53">
        <f>33700-18100</f>
        <v>15600</v>
      </c>
      <c r="N20" s="53">
        <f>15528+18472</f>
        <v>34000</v>
      </c>
    </row>
    <row r="21" spans="1:14" ht="30.75" x14ac:dyDescent="0.25">
      <c r="A21" s="18"/>
      <c r="B21" s="291"/>
      <c r="C21" s="37" t="s">
        <v>215</v>
      </c>
      <c r="D21" s="37">
        <v>613975</v>
      </c>
      <c r="E21" s="279" t="s">
        <v>474</v>
      </c>
      <c r="F21" s="50">
        <v>254887</v>
      </c>
      <c r="G21" s="50">
        <f>227000+6000+17000</f>
        <v>250000</v>
      </c>
      <c r="H21" s="47">
        <f>227000+3000+3000+17000</f>
        <v>250000</v>
      </c>
      <c r="I21" s="45"/>
      <c r="J21" s="47"/>
      <c r="K21" s="45"/>
      <c r="L21" s="39">
        <f t="shared" si="3"/>
        <v>250000</v>
      </c>
      <c r="M21" s="50">
        <f>227000+6000+17000</f>
        <v>250000</v>
      </c>
      <c r="N21" s="50">
        <f>227000+6000+17000</f>
        <v>250000</v>
      </c>
    </row>
    <row r="22" spans="1:14" x14ac:dyDescent="0.25">
      <c r="A22" s="18"/>
      <c r="B22" s="291"/>
      <c r="C22" s="54"/>
      <c r="D22" s="27">
        <v>613000</v>
      </c>
      <c r="E22" s="443" t="s">
        <v>15</v>
      </c>
      <c r="F22" s="78">
        <f t="shared" ref="F22:K22" si="4">F11+F12+F14+F15</f>
        <v>331343</v>
      </c>
      <c r="G22" s="78">
        <f t="shared" si="4"/>
        <v>353800</v>
      </c>
      <c r="H22" s="78">
        <f t="shared" si="4"/>
        <v>366000</v>
      </c>
      <c r="I22" s="78">
        <f t="shared" si="4"/>
        <v>0</v>
      </c>
      <c r="J22" s="78">
        <f t="shared" si="4"/>
        <v>0</v>
      </c>
      <c r="K22" s="78">
        <f t="shared" si="4"/>
        <v>0</v>
      </c>
      <c r="L22" s="78">
        <f t="shared" si="3"/>
        <v>366000</v>
      </c>
      <c r="M22" s="78">
        <f>M11+M12+M14+M15</f>
        <v>332500</v>
      </c>
      <c r="N22" s="78">
        <f>N11+N12+N14+N15</f>
        <v>332500</v>
      </c>
    </row>
    <row r="23" spans="1:14" x14ac:dyDescent="0.25">
      <c r="A23" s="18"/>
      <c r="B23" s="291"/>
      <c r="C23" s="57"/>
      <c r="D23" s="58"/>
      <c r="E23" s="59"/>
      <c r="F23" s="60"/>
      <c r="G23" s="60"/>
      <c r="H23" s="255"/>
      <c r="I23" s="255"/>
      <c r="J23" s="259"/>
      <c r="K23" s="255"/>
      <c r="L23" s="60"/>
      <c r="M23" s="60"/>
      <c r="N23" s="60"/>
    </row>
    <row r="24" spans="1:14" x14ac:dyDescent="0.25">
      <c r="A24" s="18"/>
      <c r="B24" s="291"/>
      <c r="C24" s="37" t="s">
        <v>216</v>
      </c>
      <c r="D24" s="37">
        <v>614323</v>
      </c>
      <c r="E24" s="38" t="s">
        <v>336</v>
      </c>
      <c r="F24" s="39"/>
      <c r="G24" s="39">
        <v>35000</v>
      </c>
      <c r="H24" s="313">
        <f>35300-35300+35000</f>
        <v>35000</v>
      </c>
      <c r="I24" s="45"/>
      <c r="J24" s="47"/>
      <c r="K24" s="45"/>
      <c r="L24" s="39">
        <f>H24+I24+J24+K24</f>
        <v>35000</v>
      </c>
      <c r="M24" s="39">
        <v>35300</v>
      </c>
      <c r="N24" s="39">
        <v>35300</v>
      </c>
    </row>
    <row r="25" spans="1:14" ht="19.5" customHeight="1" x14ac:dyDescent="0.25">
      <c r="A25" s="18"/>
      <c r="B25" s="291"/>
      <c r="C25" s="37" t="s">
        <v>216</v>
      </c>
      <c r="D25" s="37">
        <v>614124</v>
      </c>
      <c r="E25" s="554" t="s">
        <v>915</v>
      </c>
      <c r="F25" s="602">
        <v>148389</v>
      </c>
      <c r="G25" s="602"/>
      <c r="H25" s="62">
        <f>H26+H27+H28</f>
        <v>95000</v>
      </c>
      <c r="I25" s="39"/>
      <c r="J25" s="62"/>
      <c r="K25" s="39"/>
      <c r="L25" s="39">
        <f>H25+I25+J25+K25</f>
        <v>95000</v>
      </c>
      <c r="M25" s="602">
        <f>M26+M27+M28</f>
        <v>0</v>
      </c>
      <c r="N25" s="602">
        <f>N26+N27+N28</f>
        <v>100000</v>
      </c>
    </row>
    <row r="26" spans="1:14" ht="19.149999999999999" customHeight="1" x14ac:dyDescent="0.25">
      <c r="A26" s="18"/>
      <c r="B26" s="291"/>
      <c r="C26" s="37"/>
      <c r="D26" s="37"/>
      <c r="E26" s="554" t="s">
        <v>476</v>
      </c>
      <c r="F26" s="602">
        <v>74933</v>
      </c>
      <c r="G26" s="602"/>
      <c r="H26" s="588"/>
      <c r="I26" s="256"/>
      <c r="J26" s="588"/>
      <c r="K26" s="256"/>
      <c r="L26" s="39">
        <f>H26+I26+J26+K26</f>
        <v>0</v>
      </c>
      <c r="M26" s="602"/>
      <c r="N26" s="602">
        <v>100000</v>
      </c>
    </row>
    <row r="27" spans="1:14" ht="30" x14ac:dyDescent="0.25">
      <c r="A27" s="18"/>
      <c r="B27" s="291"/>
      <c r="C27" s="37"/>
      <c r="D27" s="37"/>
      <c r="E27" s="554" t="s">
        <v>477</v>
      </c>
      <c r="F27" s="602"/>
      <c r="G27" s="602"/>
      <c r="H27" s="62">
        <f>71300+23700</f>
        <v>95000</v>
      </c>
      <c r="I27" s="39"/>
      <c r="J27" s="62"/>
      <c r="K27" s="39"/>
      <c r="L27" s="39">
        <f>H27+I27+J27+K27</f>
        <v>95000</v>
      </c>
      <c r="M27" s="602"/>
      <c r="N27" s="602"/>
    </row>
    <row r="28" spans="1:14" x14ac:dyDescent="0.25">
      <c r="A28" s="18"/>
      <c r="B28" s="291"/>
      <c r="C28" s="37"/>
      <c r="D28" s="37"/>
      <c r="E28" s="554" t="s">
        <v>478</v>
      </c>
      <c r="F28" s="602">
        <v>73456</v>
      </c>
      <c r="G28" s="602"/>
      <c r="H28" s="588"/>
      <c r="I28" s="256"/>
      <c r="J28" s="588"/>
      <c r="K28" s="256"/>
      <c r="L28" s="39">
        <f>H28+I28+J28+K28</f>
        <v>0</v>
      </c>
      <c r="M28" s="602"/>
      <c r="N28" s="602"/>
    </row>
    <row r="29" spans="1:14" x14ac:dyDescent="0.25">
      <c r="A29" s="18"/>
      <c r="B29" s="291"/>
      <c r="C29" s="27" t="s">
        <v>216</v>
      </c>
      <c r="D29" s="286">
        <v>614000</v>
      </c>
      <c r="E29" s="443" t="s">
        <v>90</v>
      </c>
      <c r="F29" s="56">
        <f t="shared" ref="F29:G29" si="5">F24+F25</f>
        <v>148389</v>
      </c>
      <c r="G29" s="56">
        <f t="shared" si="5"/>
        <v>35000</v>
      </c>
      <c r="H29" s="78">
        <f>H24+H25</f>
        <v>130000</v>
      </c>
      <c r="I29" s="78">
        <f>I24+I25</f>
        <v>0</v>
      </c>
      <c r="J29" s="329">
        <f>J24+J25</f>
        <v>0</v>
      </c>
      <c r="K29" s="78">
        <f>K24+K25</f>
        <v>0</v>
      </c>
      <c r="L29" s="56">
        <f>L24+L25</f>
        <v>130000</v>
      </c>
      <c r="M29" s="56">
        <f t="shared" ref="M29:N29" si="6">M24+M25</f>
        <v>35300</v>
      </c>
      <c r="N29" s="56">
        <f t="shared" si="6"/>
        <v>135300</v>
      </c>
    </row>
    <row r="30" spans="1:14" x14ac:dyDescent="0.25">
      <c r="A30" s="18"/>
      <c r="B30" s="291"/>
      <c r="C30" s="65"/>
      <c r="D30" s="66"/>
      <c r="E30" s="67"/>
      <c r="F30" s="68"/>
      <c r="G30" s="68"/>
      <c r="H30" s="258"/>
      <c r="I30" s="258"/>
      <c r="J30" s="603"/>
      <c r="K30" s="258"/>
      <c r="L30" s="68"/>
      <c r="M30" s="68"/>
      <c r="N30" s="68"/>
    </row>
    <row r="31" spans="1:14" x14ac:dyDescent="0.25">
      <c r="A31" s="18"/>
      <c r="B31" s="291"/>
      <c r="C31" s="37" t="s">
        <v>215</v>
      </c>
      <c r="D31" s="37">
        <v>821300</v>
      </c>
      <c r="E31" s="446" t="s">
        <v>341</v>
      </c>
      <c r="F31" s="39"/>
      <c r="G31" s="39">
        <v>1000</v>
      </c>
      <c r="H31" s="62">
        <f>(33*800+7000-32400)+34000</f>
        <v>35000</v>
      </c>
      <c r="I31" s="39"/>
      <c r="J31" s="62"/>
      <c r="K31" s="39"/>
      <c r="L31" s="62">
        <f>H31+I31+J31+K31</f>
        <v>35000</v>
      </c>
      <c r="M31" s="39"/>
      <c r="N31" s="39"/>
    </row>
    <row r="32" spans="1:14" x14ac:dyDescent="0.25">
      <c r="A32" s="18"/>
      <c r="B32" s="291"/>
      <c r="C32" s="54" t="s">
        <v>215</v>
      </c>
      <c r="D32" s="27">
        <v>821000</v>
      </c>
      <c r="E32" s="55" t="s">
        <v>16</v>
      </c>
      <c r="F32" s="56">
        <f t="shared" ref="F32" si="7">F31</f>
        <v>0</v>
      </c>
      <c r="G32" s="56">
        <f t="shared" ref="G32:K32" si="8">G31</f>
        <v>1000</v>
      </c>
      <c r="H32" s="78">
        <f t="shared" si="8"/>
        <v>35000</v>
      </c>
      <c r="I32" s="78">
        <f t="shared" si="8"/>
        <v>0</v>
      </c>
      <c r="J32" s="78">
        <f t="shared" si="8"/>
        <v>0</v>
      </c>
      <c r="K32" s="78">
        <f t="shared" si="8"/>
        <v>0</v>
      </c>
      <c r="L32" s="56">
        <f>H32+I32+J32+K32</f>
        <v>35000</v>
      </c>
      <c r="M32" s="56">
        <f>M31</f>
        <v>0</v>
      </c>
      <c r="N32" s="56">
        <f>N31</f>
        <v>0</v>
      </c>
    </row>
    <row r="33" spans="1:17" ht="11.25" customHeight="1" x14ac:dyDescent="0.25">
      <c r="A33" s="18"/>
      <c r="B33" s="291"/>
      <c r="C33" s="65"/>
      <c r="D33" s="66"/>
      <c r="E33" s="69"/>
      <c r="F33" s="68"/>
      <c r="G33" s="68"/>
      <c r="H33" s="258"/>
      <c r="I33" s="258"/>
      <c r="J33" s="603"/>
      <c r="K33" s="258"/>
      <c r="L33" s="68"/>
      <c r="M33" s="68"/>
      <c r="N33" s="68"/>
    </row>
    <row r="34" spans="1:17" x14ac:dyDescent="0.25">
      <c r="A34" s="18"/>
      <c r="B34" s="291"/>
      <c r="C34" s="65"/>
      <c r="D34" s="66"/>
      <c r="E34" s="27" t="s">
        <v>651</v>
      </c>
      <c r="F34" s="64">
        <f t="shared" ref="F34:G34" si="9">F22+F29+F32</f>
        <v>479732</v>
      </c>
      <c r="G34" s="64">
        <f t="shared" si="9"/>
        <v>389800</v>
      </c>
      <c r="H34" s="94">
        <f>H22+H29+H32</f>
        <v>531000</v>
      </c>
      <c r="I34" s="94">
        <f>I22+I29+I32</f>
        <v>0</v>
      </c>
      <c r="J34" s="94">
        <f>J22+J29+J32</f>
        <v>0</v>
      </c>
      <c r="K34" s="94">
        <f>K22+K29+K32</f>
        <v>0</v>
      </c>
      <c r="L34" s="64">
        <f>L22+L29+L32</f>
        <v>531000</v>
      </c>
      <c r="M34" s="64">
        <f t="shared" ref="M34:N34" si="10">M22+M29+M32</f>
        <v>367800</v>
      </c>
      <c r="N34" s="64">
        <f t="shared" si="10"/>
        <v>467800</v>
      </c>
    </row>
    <row r="36" spans="1:17" ht="33" customHeight="1" x14ac:dyDescent="0.25">
      <c r="A36" s="17">
        <v>11</v>
      </c>
      <c r="B36" s="292"/>
      <c r="C36" s="65"/>
      <c r="D36" s="66"/>
      <c r="E36" s="72" t="s">
        <v>133</v>
      </c>
      <c r="F36" s="70"/>
      <c r="G36" s="70"/>
      <c r="H36" s="120"/>
      <c r="I36" s="120"/>
      <c r="J36" s="368"/>
      <c r="K36" s="120"/>
      <c r="L36" s="70"/>
      <c r="M36" s="70"/>
      <c r="N36" s="70"/>
    </row>
    <row r="37" spans="1:17" ht="4.5" customHeight="1" x14ac:dyDescent="0.25">
      <c r="A37" s="18"/>
      <c r="B37" s="291"/>
      <c r="C37" s="65"/>
      <c r="D37" s="66"/>
      <c r="E37" s="74"/>
      <c r="F37" s="70"/>
      <c r="G37" s="70"/>
      <c r="H37" s="120"/>
      <c r="I37" s="120"/>
      <c r="J37" s="368"/>
      <c r="K37" s="120"/>
      <c r="L37" s="70"/>
      <c r="M37" s="70"/>
      <c r="N37" s="70"/>
    </row>
    <row r="38" spans="1:17" ht="33.75" customHeight="1" x14ac:dyDescent="0.25">
      <c r="A38" s="17"/>
      <c r="B38" s="292">
        <v>1101</v>
      </c>
      <c r="C38" s="65"/>
      <c r="D38" s="66"/>
      <c r="E38" s="702" t="s">
        <v>129</v>
      </c>
      <c r="F38" s="33"/>
      <c r="G38" s="33"/>
      <c r="H38" s="120"/>
      <c r="I38" s="120"/>
      <c r="J38" s="368"/>
      <c r="K38" s="120"/>
      <c r="L38" s="33"/>
      <c r="M38" s="33"/>
      <c r="N38" s="33"/>
    </row>
    <row r="39" spans="1:17" x14ac:dyDescent="0.25">
      <c r="A39" s="18"/>
      <c r="B39" s="291"/>
      <c r="C39" s="65"/>
      <c r="D39" s="66"/>
      <c r="E39" s="69"/>
      <c r="F39" s="70"/>
      <c r="G39" s="70"/>
      <c r="H39" s="120"/>
      <c r="I39" s="120"/>
      <c r="J39" s="368"/>
      <c r="K39" s="120"/>
      <c r="L39" s="70"/>
      <c r="M39" s="70"/>
      <c r="N39" s="70"/>
      <c r="P39" s="885">
        <f>6384*12+(2735*12)+((640+274)*12)/2</f>
        <v>114912</v>
      </c>
    </row>
    <row r="40" spans="1:17" ht="30.75" x14ac:dyDescent="0.25">
      <c r="A40" s="18"/>
      <c r="B40" s="291"/>
      <c r="C40" s="37" t="s">
        <v>215</v>
      </c>
      <c r="D40" s="37">
        <v>611100</v>
      </c>
      <c r="E40" s="44" t="s">
        <v>1142</v>
      </c>
      <c r="F40" s="62">
        <v>56079</v>
      </c>
      <c r="G40" s="62">
        <v>71167</v>
      </c>
      <c r="H40" s="62">
        <f>6384*12+(2735*12)-(2735*12)+((640+274)*12)/2+8</f>
        <v>82100</v>
      </c>
      <c r="I40" s="39"/>
      <c r="J40" s="62"/>
      <c r="K40" s="39"/>
      <c r="L40" s="62">
        <f>H40+I40+J40+K40</f>
        <v>82100</v>
      </c>
      <c r="M40" s="62">
        <f>70000+60000-30000</f>
        <v>100000</v>
      </c>
      <c r="N40" s="62">
        <f>70000+60000+5000-25000</f>
        <v>110000</v>
      </c>
      <c r="O40" s="756">
        <f>76608*5/100</f>
        <v>3830.4</v>
      </c>
      <c r="P40" s="755">
        <f>114912-32820</f>
        <v>82092</v>
      </c>
      <c r="Q40" s="731">
        <f>(2735*12)</f>
        <v>32820</v>
      </c>
    </row>
    <row r="41" spans="1:17" x14ac:dyDescent="0.25">
      <c r="A41" s="18"/>
      <c r="B41" s="291"/>
      <c r="C41" s="37" t="s">
        <v>215</v>
      </c>
      <c r="D41" s="37">
        <v>611200</v>
      </c>
      <c r="E41" s="38" t="s">
        <v>12</v>
      </c>
      <c r="F41" s="117">
        <v>4530</v>
      </c>
      <c r="G41" s="117">
        <v>10395</v>
      </c>
      <c r="H41" s="300">
        <f>(3*22*9.3)*11+(3*450)+298</f>
        <v>8399.8000000000011</v>
      </c>
      <c r="I41" s="48"/>
      <c r="J41" s="300"/>
      <c r="K41" s="48"/>
      <c r="L41" s="62">
        <f>H41+I41+J41+K41</f>
        <v>8399.8000000000011</v>
      </c>
      <c r="M41" s="117">
        <f>13000-1000</f>
        <v>12000</v>
      </c>
      <c r="N41" s="117">
        <f>13000-1000</f>
        <v>12000</v>
      </c>
      <c r="O41" s="756">
        <f>5600+(3*22*9.3)*3</f>
        <v>7441.4</v>
      </c>
    </row>
    <row r="42" spans="1:17" x14ac:dyDescent="0.25">
      <c r="A42" s="18"/>
      <c r="B42" s="291"/>
      <c r="C42" s="286" t="s">
        <v>215</v>
      </c>
      <c r="D42" s="27">
        <v>611000</v>
      </c>
      <c r="E42" s="55" t="s">
        <v>13</v>
      </c>
      <c r="F42" s="56">
        <f t="shared" ref="F42:G42" si="11">F40+F41</f>
        <v>60609</v>
      </c>
      <c r="G42" s="56">
        <f t="shared" si="11"/>
        <v>81562</v>
      </c>
      <c r="H42" s="78">
        <f>H40+H41</f>
        <v>90499.8</v>
      </c>
      <c r="I42" s="78">
        <f>I40+I41</f>
        <v>0</v>
      </c>
      <c r="J42" s="329">
        <f>J40+J41</f>
        <v>0</v>
      </c>
      <c r="K42" s="78">
        <f>K40+K41</f>
        <v>0</v>
      </c>
      <c r="L42" s="56">
        <f>L40+L41</f>
        <v>90499.8</v>
      </c>
      <c r="M42" s="56">
        <f t="shared" ref="M42:N42" si="12">M40+M41</f>
        <v>112000</v>
      </c>
      <c r="N42" s="56">
        <f t="shared" si="12"/>
        <v>122000</v>
      </c>
    </row>
    <row r="43" spans="1:17" x14ac:dyDescent="0.25">
      <c r="A43" s="18"/>
      <c r="B43" s="291"/>
      <c r="C43" s="77"/>
      <c r="D43" s="29"/>
      <c r="E43" s="30"/>
      <c r="F43" s="70"/>
      <c r="G43" s="70"/>
      <c r="I43" s="130"/>
      <c r="J43" s="265"/>
      <c r="K43" s="130"/>
      <c r="L43" s="70"/>
      <c r="M43" s="70"/>
      <c r="N43" s="70"/>
    </row>
    <row r="44" spans="1:17" x14ac:dyDescent="0.25">
      <c r="A44" s="18"/>
      <c r="B44" s="291"/>
      <c r="C44" s="286" t="s">
        <v>215</v>
      </c>
      <c r="D44" s="27">
        <v>612111</v>
      </c>
      <c r="E44" s="55" t="s">
        <v>14</v>
      </c>
      <c r="F44" s="78">
        <v>5888</v>
      </c>
      <c r="G44" s="78">
        <v>14300</v>
      </c>
      <c r="H44" s="78">
        <f>670*12+(287*12)-(287*12)+((67+33)*12)/2+360</f>
        <v>9000</v>
      </c>
      <c r="I44" s="78"/>
      <c r="J44" s="329"/>
      <c r="K44" s="78"/>
      <c r="L44" s="78">
        <f>H44+I44+J44+K44</f>
        <v>9000</v>
      </c>
      <c r="M44" s="78">
        <f>(500*12)*2-1000</f>
        <v>11000</v>
      </c>
      <c r="N44" s="78">
        <f>12000</f>
        <v>12000</v>
      </c>
      <c r="O44" s="130">
        <f>82100*10.5/100</f>
        <v>8620.5</v>
      </c>
      <c r="P44" s="889">
        <f>670*12+(287*12)+((67+33)*12)/2</f>
        <v>12084</v>
      </c>
    </row>
    <row r="45" spans="1:17" x14ac:dyDescent="0.25">
      <c r="A45" s="18"/>
      <c r="B45" s="291"/>
      <c r="C45" s="79"/>
      <c r="D45" s="80"/>
      <c r="E45" s="81"/>
      <c r="F45" s="82"/>
      <c r="G45" s="82"/>
      <c r="H45" s="259"/>
      <c r="I45" s="259"/>
      <c r="J45" s="259"/>
      <c r="K45" s="259"/>
      <c r="L45" s="82"/>
      <c r="M45" s="82"/>
      <c r="N45" s="82"/>
    </row>
    <row r="46" spans="1:17" x14ac:dyDescent="0.25">
      <c r="A46" s="18"/>
      <c r="B46" s="291"/>
      <c r="C46" s="37" t="s">
        <v>215</v>
      </c>
      <c r="D46" s="37">
        <v>613100</v>
      </c>
      <c r="E46" s="38" t="s">
        <v>93</v>
      </c>
      <c r="F46" s="45"/>
      <c r="G46" s="45">
        <v>1000</v>
      </c>
      <c r="H46" s="45">
        <f>1000+1000</f>
        <v>2000</v>
      </c>
      <c r="I46" s="45"/>
      <c r="J46" s="47"/>
      <c r="K46" s="45"/>
      <c r="L46" s="62">
        <f>H46+I46+J46+K46</f>
        <v>2000</v>
      </c>
      <c r="M46" s="45">
        <v>2000</v>
      </c>
      <c r="N46" s="45">
        <v>2000</v>
      </c>
    </row>
    <row r="47" spans="1:17" x14ac:dyDescent="0.25">
      <c r="A47" s="18"/>
      <c r="B47" s="291"/>
      <c r="C47" s="37" t="s">
        <v>215</v>
      </c>
      <c r="D47" s="37">
        <v>613300</v>
      </c>
      <c r="E47" s="81" t="s">
        <v>381</v>
      </c>
      <c r="F47" s="83">
        <f t="shared" ref="F47:G47" si="13">F48+F49</f>
        <v>1138</v>
      </c>
      <c r="G47" s="83">
        <f t="shared" si="13"/>
        <v>2100</v>
      </c>
      <c r="H47" s="40">
        <f>H48+H49</f>
        <v>2100</v>
      </c>
      <c r="I47" s="40">
        <f>I48+I49</f>
        <v>0</v>
      </c>
      <c r="J47" s="40">
        <f>J48+J49</f>
        <v>0</v>
      </c>
      <c r="K47" s="40">
        <f>K48+K49</f>
        <v>0</v>
      </c>
      <c r="L47" s="83">
        <f>L48+L49</f>
        <v>2100</v>
      </c>
      <c r="M47" s="83">
        <f t="shared" ref="M47:N47" si="14">M48+M49</f>
        <v>1860</v>
      </c>
      <c r="N47" s="83">
        <f t="shared" si="14"/>
        <v>1860</v>
      </c>
    </row>
    <row r="48" spans="1:17" x14ac:dyDescent="0.25">
      <c r="A48" s="18"/>
      <c r="B48" s="291"/>
      <c r="C48" s="37" t="s">
        <v>215</v>
      </c>
      <c r="D48" s="37">
        <v>613311</v>
      </c>
      <c r="E48" s="49" t="s">
        <v>541</v>
      </c>
      <c r="F48" s="45">
        <v>654</v>
      </c>
      <c r="G48" s="45">
        <v>1500</v>
      </c>
      <c r="H48" s="911">
        <f>1500+1000-1000</f>
        <v>1500</v>
      </c>
      <c r="I48" s="45"/>
      <c r="J48" s="47"/>
      <c r="K48" s="45"/>
      <c r="L48" s="62">
        <f>H48+I48+J48+K48</f>
        <v>1500</v>
      </c>
      <c r="M48" s="45">
        <f>1500-240</f>
        <v>1260</v>
      </c>
      <c r="N48" s="45">
        <f>1500-240</f>
        <v>1260</v>
      </c>
    </row>
    <row r="49" spans="1:16" x14ac:dyDescent="0.25">
      <c r="A49" s="21"/>
      <c r="B49" s="291"/>
      <c r="C49" s="100" t="s">
        <v>215</v>
      </c>
      <c r="D49" s="100">
        <v>613313</v>
      </c>
      <c r="E49" s="444" t="s">
        <v>197</v>
      </c>
      <c r="F49" s="47">
        <v>484</v>
      </c>
      <c r="G49" s="47">
        <v>600</v>
      </c>
      <c r="H49" s="47">
        <f>50*12</f>
        <v>600</v>
      </c>
      <c r="I49" s="47"/>
      <c r="J49" s="47"/>
      <c r="K49" s="47"/>
      <c r="L49" s="62">
        <f>H49+I49+J49+K49</f>
        <v>600</v>
      </c>
      <c r="M49" s="47">
        <v>600</v>
      </c>
      <c r="N49" s="47">
        <v>600</v>
      </c>
    </row>
    <row r="50" spans="1:16" ht="30.75" customHeight="1" x14ac:dyDescent="0.25">
      <c r="A50" s="18"/>
      <c r="B50" s="291"/>
      <c r="C50" s="37" t="s">
        <v>215</v>
      </c>
      <c r="D50" s="37">
        <v>613400</v>
      </c>
      <c r="E50" s="245" t="s">
        <v>374</v>
      </c>
      <c r="F50" s="45">
        <v>3473</v>
      </c>
      <c r="G50" s="45">
        <v>3300</v>
      </c>
      <c r="H50" s="45">
        <f>3500-200</f>
        <v>3300</v>
      </c>
      <c r="I50" s="45"/>
      <c r="J50" s="47"/>
      <c r="K50" s="45"/>
      <c r="L50" s="62">
        <f>H50+I50+J50+K50</f>
        <v>3300</v>
      </c>
      <c r="M50" s="45">
        <v>3500</v>
      </c>
      <c r="N50" s="45">
        <v>3500</v>
      </c>
    </row>
    <row r="51" spans="1:16" x14ac:dyDescent="0.25">
      <c r="A51" s="18"/>
      <c r="B51" s="291"/>
      <c r="C51" s="37" t="s">
        <v>215</v>
      </c>
      <c r="D51" s="37">
        <v>613900</v>
      </c>
      <c r="E51" s="38" t="s">
        <v>117</v>
      </c>
      <c r="F51" s="84">
        <f t="shared" ref="F51:G51" si="15">F52+F53+F54</f>
        <v>0</v>
      </c>
      <c r="G51" s="84">
        <f t="shared" si="15"/>
        <v>4000</v>
      </c>
      <c r="H51" s="84">
        <f>H52+H53+H54</f>
        <v>4000</v>
      </c>
      <c r="I51" s="84">
        <f>I52+I53+I54</f>
        <v>0</v>
      </c>
      <c r="J51" s="84">
        <f>J52+J53+J54</f>
        <v>0</v>
      </c>
      <c r="K51" s="84">
        <f>K52+K53+K54</f>
        <v>0</v>
      </c>
      <c r="L51" s="84">
        <f>L52+L53+L54</f>
        <v>4000</v>
      </c>
      <c r="M51" s="84">
        <f t="shared" ref="M51:N51" si="16">M52+M53+M54</f>
        <v>2500</v>
      </c>
      <c r="N51" s="84">
        <f t="shared" si="16"/>
        <v>2500</v>
      </c>
    </row>
    <row r="52" spans="1:16" x14ac:dyDescent="0.25">
      <c r="A52" s="18"/>
      <c r="B52" s="291"/>
      <c r="C52" s="37" t="s">
        <v>215</v>
      </c>
      <c r="D52" s="37">
        <v>613912</v>
      </c>
      <c r="E52" s="85" t="s">
        <v>1</v>
      </c>
      <c r="F52" s="50"/>
      <c r="G52" s="50"/>
      <c r="H52" s="45"/>
      <c r="I52" s="45"/>
      <c r="J52" s="47"/>
      <c r="K52" s="45"/>
      <c r="L52" s="62">
        <f>H52+I52+J52+K52</f>
        <v>0</v>
      </c>
      <c r="M52" s="50"/>
      <c r="N52" s="50"/>
    </row>
    <row r="53" spans="1:16" x14ac:dyDescent="0.25">
      <c r="A53" s="18"/>
      <c r="B53" s="291"/>
      <c r="C53" s="37" t="s">
        <v>215</v>
      </c>
      <c r="D53" s="37">
        <v>613914</v>
      </c>
      <c r="E53" s="444" t="s">
        <v>524</v>
      </c>
      <c r="F53" s="51"/>
      <c r="G53" s="51">
        <v>1000</v>
      </c>
      <c r="H53" s="48">
        <v>1000</v>
      </c>
      <c r="I53" s="48"/>
      <c r="J53" s="300"/>
      <c r="K53" s="48"/>
      <c r="L53" s="62">
        <f>H53+I53+J53+K53</f>
        <v>1000</v>
      </c>
      <c r="M53" s="51">
        <v>1000</v>
      </c>
      <c r="N53" s="51">
        <v>1000</v>
      </c>
    </row>
    <row r="54" spans="1:16" ht="30.75" x14ac:dyDescent="0.25">
      <c r="A54" s="18"/>
      <c r="B54" s="291"/>
      <c r="C54" s="37" t="s">
        <v>215</v>
      </c>
      <c r="D54" s="37">
        <v>613920</v>
      </c>
      <c r="E54" s="86" t="s">
        <v>525</v>
      </c>
      <c r="F54" s="50"/>
      <c r="G54" s="50">
        <v>3000</v>
      </c>
      <c r="H54" s="45">
        <f>3000</f>
        <v>3000</v>
      </c>
      <c r="I54" s="45"/>
      <c r="J54" s="47"/>
      <c r="K54" s="45"/>
      <c r="L54" s="62">
        <f>H54+I54+J54+K54</f>
        <v>3000</v>
      </c>
      <c r="M54" s="50">
        <f>2000-500</f>
        <v>1500</v>
      </c>
      <c r="N54" s="50">
        <f>2000-500</f>
        <v>1500</v>
      </c>
    </row>
    <row r="55" spans="1:16" x14ac:dyDescent="0.25">
      <c r="A55" s="18"/>
      <c r="B55" s="291"/>
      <c r="C55" s="684" t="s">
        <v>215</v>
      </c>
      <c r="D55" s="684">
        <v>613000</v>
      </c>
      <c r="E55" s="447" t="s">
        <v>15</v>
      </c>
      <c r="F55" s="299">
        <f t="shared" ref="F55:G55" si="17">F46+F47+F50+F51</f>
        <v>4611</v>
      </c>
      <c r="G55" s="299">
        <f t="shared" si="17"/>
        <v>10400</v>
      </c>
      <c r="H55" s="685">
        <f>H46+H47+H50+H51</f>
        <v>11400</v>
      </c>
      <c r="I55" s="685">
        <f>I46+I47+I50+I51</f>
        <v>0</v>
      </c>
      <c r="J55" s="685">
        <f>J46+J47+J50+J51</f>
        <v>0</v>
      </c>
      <c r="K55" s="685">
        <f>K46+K47+K50+K51</f>
        <v>0</v>
      </c>
      <c r="L55" s="299">
        <f>L46+L47+L50+L51</f>
        <v>11400</v>
      </c>
      <c r="M55" s="299">
        <f t="shared" ref="M55:N55" si="18">M46+M47+M50+M51</f>
        <v>9860</v>
      </c>
      <c r="N55" s="299">
        <f t="shared" si="18"/>
        <v>9860</v>
      </c>
    </row>
    <row r="56" spans="1:16" ht="9" customHeight="1" x14ac:dyDescent="0.25">
      <c r="A56" s="18"/>
      <c r="B56" s="291"/>
      <c r="C56" s="243"/>
      <c r="D56" s="243"/>
      <c r="E56" s="686"/>
      <c r="F56" s="244"/>
      <c r="G56" s="244"/>
      <c r="H56" s="265"/>
      <c r="I56" s="265"/>
      <c r="J56" s="265"/>
      <c r="K56" s="265"/>
      <c r="L56" s="244"/>
      <c r="M56" s="244"/>
      <c r="N56" s="244"/>
    </row>
    <row r="57" spans="1:16" x14ac:dyDescent="0.25">
      <c r="A57" s="18"/>
      <c r="B57" s="291"/>
      <c r="C57" s="100" t="s">
        <v>215</v>
      </c>
      <c r="D57" s="100">
        <v>821300</v>
      </c>
      <c r="E57" s="446" t="s">
        <v>341</v>
      </c>
      <c r="F57" s="62"/>
      <c r="G57" s="62">
        <v>3000</v>
      </c>
      <c r="H57" s="62">
        <v>10000</v>
      </c>
      <c r="I57" s="62"/>
      <c r="J57" s="62"/>
      <c r="K57" s="62"/>
      <c r="L57" s="62">
        <f>H57+I57+J57+K57</f>
        <v>10000</v>
      </c>
      <c r="M57" s="62"/>
      <c r="N57" s="62"/>
    </row>
    <row r="58" spans="1:16" ht="12" customHeight="1" x14ac:dyDescent="0.25">
      <c r="A58" s="18"/>
      <c r="B58" s="291"/>
      <c r="C58" s="88"/>
      <c r="D58" s="29"/>
      <c r="E58" s="89"/>
      <c r="F58" s="90"/>
      <c r="G58" s="90"/>
      <c r="H58" s="120"/>
      <c r="I58" s="120"/>
      <c r="J58" s="368"/>
      <c r="K58" s="120"/>
      <c r="L58" s="90"/>
      <c r="M58" s="90"/>
      <c r="N58" s="90"/>
    </row>
    <row r="59" spans="1:16" ht="15" customHeight="1" x14ac:dyDescent="0.25">
      <c r="A59" s="18"/>
      <c r="B59" s="291"/>
      <c r="C59" s="65"/>
      <c r="D59" s="66"/>
      <c r="E59" s="91" t="s">
        <v>658</v>
      </c>
      <c r="F59" s="56">
        <f>F42+F44+F55+F57</f>
        <v>71108</v>
      </c>
      <c r="G59" s="56">
        <f>G42+G44+G55+G57</f>
        <v>109262</v>
      </c>
      <c r="H59" s="78">
        <f>H42+H44+H55+H57</f>
        <v>120899.8</v>
      </c>
      <c r="I59" s="78">
        <f>I42+I44+I55</f>
        <v>0</v>
      </c>
      <c r="J59" s="329">
        <f>J42+J44+J55</f>
        <v>0</v>
      </c>
      <c r="K59" s="78">
        <f>K42+K44+K55</f>
        <v>0</v>
      </c>
      <c r="L59" s="56">
        <f>L42+L44+L55+L57</f>
        <v>120899.8</v>
      </c>
      <c r="M59" s="56">
        <f>M42+M44+M55+M57</f>
        <v>132860</v>
      </c>
      <c r="N59" s="56">
        <f>N42+N44+N55+N57</f>
        <v>143860</v>
      </c>
    </row>
    <row r="60" spans="1:16" ht="12.75" customHeight="1" x14ac:dyDescent="0.25">
      <c r="A60" s="18"/>
      <c r="B60" s="291"/>
      <c r="C60" s="65"/>
      <c r="D60" s="66"/>
      <c r="E60" s="69"/>
      <c r="F60" s="70"/>
      <c r="G60" s="70"/>
      <c r="H60" s="120"/>
      <c r="I60" s="120"/>
      <c r="J60" s="368"/>
      <c r="K60" s="120"/>
      <c r="L60" s="70"/>
      <c r="M60" s="70"/>
      <c r="N60" s="70"/>
    </row>
    <row r="61" spans="1:16" x14ac:dyDescent="0.25">
      <c r="A61" s="19"/>
      <c r="B61" s="293">
        <v>1102</v>
      </c>
      <c r="C61" s="30"/>
      <c r="D61" s="29"/>
      <c r="E61" s="92" t="s">
        <v>130</v>
      </c>
      <c r="F61" s="33"/>
      <c r="G61" s="33"/>
      <c r="H61" s="903"/>
      <c r="I61" s="120"/>
      <c r="J61" s="368"/>
      <c r="K61" s="120"/>
      <c r="L61" s="33"/>
      <c r="M61" s="33"/>
      <c r="N61" s="33"/>
    </row>
    <row r="62" spans="1:16" x14ac:dyDescent="0.25">
      <c r="A62" s="19"/>
      <c r="B62" s="293"/>
      <c r="C62" s="34"/>
      <c r="D62" s="29"/>
      <c r="E62" s="24"/>
      <c r="F62" s="73"/>
      <c r="G62" s="73"/>
      <c r="H62" s="368"/>
      <c r="I62" s="120"/>
      <c r="J62" s="368"/>
      <c r="K62" s="120"/>
      <c r="L62" s="73"/>
      <c r="M62" s="73"/>
      <c r="N62" s="73"/>
    </row>
    <row r="63" spans="1:16" x14ac:dyDescent="0.25">
      <c r="A63" s="20"/>
      <c r="B63" s="266"/>
      <c r="C63" s="37" t="s">
        <v>215</v>
      </c>
      <c r="D63" s="37">
        <v>611100</v>
      </c>
      <c r="E63" s="245" t="s">
        <v>1213</v>
      </c>
      <c r="F63" s="62">
        <v>413848</v>
      </c>
      <c r="G63" s="62">
        <v>408792</v>
      </c>
      <c r="H63" s="62">
        <f>28500*12+((2817+222+146)*12)/2</f>
        <v>361110</v>
      </c>
      <c r="I63" s="39"/>
      <c r="J63" s="62"/>
      <c r="K63" s="39"/>
      <c r="L63" s="62">
        <f>H63+I63+J63+K63</f>
        <v>361110</v>
      </c>
      <c r="M63" s="62">
        <v>385000</v>
      </c>
      <c r="N63" s="62">
        <v>388000</v>
      </c>
      <c r="O63" s="756">
        <f>+(2216+1459)*12</f>
        <v>44100</v>
      </c>
      <c r="P63" s="1010" t="s">
        <v>1212</v>
      </c>
    </row>
    <row r="64" spans="1:16" x14ac:dyDescent="0.25">
      <c r="A64" s="351"/>
      <c r="B64" s="291"/>
      <c r="C64" s="100" t="s">
        <v>215</v>
      </c>
      <c r="D64" s="100">
        <v>611200</v>
      </c>
      <c r="E64" s="81" t="s">
        <v>382</v>
      </c>
      <c r="F64" s="62">
        <v>60043</v>
      </c>
      <c r="G64" s="62">
        <f>75000</f>
        <v>75000</v>
      </c>
      <c r="H64" s="300">
        <f>(11*22*9.3)*11+(11*450)+500*11+293</f>
        <v>35499.600000000006</v>
      </c>
      <c r="I64" s="47"/>
      <c r="J64" s="47"/>
      <c r="K64" s="47"/>
      <c r="L64" s="62">
        <f>H64+I64+J64+K64</f>
        <v>35499.600000000006</v>
      </c>
      <c r="M64" s="62">
        <v>36000</v>
      </c>
      <c r="N64" s="62">
        <v>36000</v>
      </c>
      <c r="O64" s="756">
        <f>(2*22*9.3)*11+(2*450)-901</f>
        <v>4500.2000000000007</v>
      </c>
      <c r="P64" s="756">
        <f>20300+(11*9.3*22)*3+(3*9.3*22)*3+(450*2)+500*11</f>
        <v>35293.200000000004</v>
      </c>
    </row>
    <row r="65" spans="1:15" ht="10.5" customHeight="1" x14ac:dyDescent="0.25">
      <c r="A65" s="17"/>
      <c r="B65" s="291"/>
      <c r="C65" s="37"/>
      <c r="D65" s="37"/>
      <c r="E65" s="49" t="s">
        <v>47</v>
      </c>
      <c r="F65" s="45"/>
      <c r="G65" s="45"/>
      <c r="H65" s="45"/>
      <c r="I65" s="45"/>
      <c r="J65" s="47"/>
      <c r="K65" s="45"/>
      <c r="L65" s="62">
        <f>H65+I65+J65+K65</f>
        <v>0</v>
      </c>
      <c r="M65" s="45"/>
      <c r="N65" s="45"/>
    </row>
    <row r="66" spans="1:15" x14ac:dyDescent="0.25">
      <c r="A66" s="18"/>
      <c r="B66" s="291"/>
      <c r="C66" s="27" t="s">
        <v>215</v>
      </c>
      <c r="D66" s="27">
        <v>611000</v>
      </c>
      <c r="E66" s="55" t="s">
        <v>13</v>
      </c>
      <c r="F66" s="64">
        <f t="shared" ref="F66" si="19">F63+F64</f>
        <v>473891</v>
      </c>
      <c r="G66" s="64">
        <f t="shared" ref="G66:N66" si="20">G63+G64</f>
        <v>483792</v>
      </c>
      <c r="H66" s="391">
        <f t="shared" si="20"/>
        <v>396609.6</v>
      </c>
      <c r="I66" s="94">
        <f t="shared" si="20"/>
        <v>0</v>
      </c>
      <c r="J66" s="391">
        <f t="shared" si="20"/>
        <v>0</v>
      </c>
      <c r="K66" s="94">
        <f t="shared" si="20"/>
        <v>0</v>
      </c>
      <c r="L66" s="64">
        <f t="shared" si="20"/>
        <v>396609.6</v>
      </c>
      <c r="M66" s="64">
        <f t="shared" si="20"/>
        <v>421000</v>
      </c>
      <c r="N66" s="64">
        <f t="shared" si="20"/>
        <v>424000</v>
      </c>
    </row>
    <row r="67" spans="1:15" ht="8.25" customHeight="1" x14ac:dyDescent="0.25">
      <c r="A67" s="18"/>
      <c r="B67" s="291"/>
      <c r="C67" s="29"/>
      <c r="D67" s="29"/>
      <c r="E67" s="30"/>
      <c r="F67" s="90"/>
      <c r="G67" s="90"/>
      <c r="H67" s="368"/>
      <c r="I67" s="120"/>
      <c r="J67" s="368"/>
      <c r="K67" s="120"/>
      <c r="L67" s="90"/>
      <c r="M67" s="90"/>
      <c r="N67" s="90"/>
    </row>
    <row r="68" spans="1:15" x14ac:dyDescent="0.25">
      <c r="A68" s="18"/>
      <c r="B68" s="291"/>
      <c r="C68" s="27" t="s">
        <v>215</v>
      </c>
      <c r="D68" s="27">
        <v>612111</v>
      </c>
      <c r="E68" s="55" t="s">
        <v>14</v>
      </c>
      <c r="F68" s="78">
        <v>43454</v>
      </c>
      <c r="G68" s="78">
        <v>37223</v>
      </c>
      <c r="H68" s="329">
        <f>2970*12+((296+24+16)*12)/2+244</f>
        <v>37900</v>
      </c>
      <c r="I68" s="78"/>
      <c r="J68" s="329"/>
      <c r="K68" s="78"/>
      <c r="L68" s="78">
        <f>H68+I68+J68+K68</f>
        <v>37900</v>
      </c>
      <c r="M68" s="78">
        <v>42000</v>
      </c>
      <c r="N68" s="78">
        <v>45000</v>
      </c>
      <c r="O68" s="912">
        <f>(233*12)+(153)*12</f>
        <v>4632</v>
      </c>
    </row>
    <row r="69" spans="1:15" ht="9" customHeight="1" x14ac:dyDescent="0.25">
      <c r="A69" s="18"/>
      <c r="B69" s="291"/>
      <c r="C69" s="29"/>
      <c r="D69" s="37"/>
      <c r="E69" s="38"/>
      <c r="F69" s="41"/>
      <c r="G69" s="41"/>
      <c r="H69" s="47"/>
      <c r="I69" s="45"/>
      <c r="J69" s="47"/>
      <c r="K69" s="45"/>
      <c r="L69" s="41"/>
      <c r="M69" s="41"/>
      <c r="N69" s="41"/>
    </row>
    <row r="70" spans="1:15" x14ac:dyDescent="0.25">
      <c r="A70" s="18"/>
      <c r="B70" s="291"/>
      <c r="C70" s="37" t="s">
        <v>215</v>
      </c>
      <c r="D70" s="37">
        <v>613100</v>
      </c>
      <c r="E70" s="38" t="s">
        <v>93</v>
      </c>
      <c r="F70" s="62">
        <v>16252</v>
      </c>
      <c r="G70" s="62">
        <v>8500</v>
      </c>
      <c r="H70" s="47">
        <f>7500+1000+1500</f>
        <v>10000</v>
      </c>
      <c r="I70" s="45"/>
      <c r="J70" s="47"/>
      <c r="K70" s="45"/>
      <c r="L70" s="62">
        <f>H70+I70+J70+K70</f>
        <v>10000</v>
      </c>
      <c r="M70" s="918">
        <v>10000</v>
      </c>
      <c r="N70" s="918">
        <v>10000</v>
      </c>
    </row>
    <row r="71" spans="1:15" x14ac:dyDescent="0.25">
      <c r="A71" s="18"/>
      <c r="B71" s="291"/>
      <c r="C71" s="37" t="s">
        <v>215</v>
      </c>
      <c r="D71" s="43">
        <v>613300</v>
      </c>
      <c r="E71" s="63" t="s">
        <v>381</v>
      </c>
      <c r="F71" s="95">
        <f t="shared" ref="F71:G71" si="21">F72+F73+F74</f>
        <v>12080</v>
      </c>
      <c r="G71" s="95">
        <f t="shared" si="21"/>
        <v>11300</v>
      </c>
      <c r="H71" s="95">
        <f>H72+H73+H74</f>
        <v>15140</v>
      </c>
      <c r="I71" s="95">
        <f>I72+I73+I74</f>
        <v>0</v>
      </c>
      <c r="J71" s="601">
        <f>J72+J73+J74</f>
        <v>0</v>
      </c>
      <c r="K71" s="95">
        <f>K72+K73+K74</f>
        <v>0</v>
      </c>
      <c r="L71" s="95">
        <f>L72+L73+L74</f>
        <v>15140</v>
      </c>
      <c r="M71" s="95">
        <f t="shared" ref="M71:N71" si="22">M72+M73+M74</f>
        <v>11300</v>
      </c>
      <c r="N71" s="95">
        <f t="shared" si="22"/>
        <v>11300</v>
      </c>
    </row>
    <row r="72" spans="1:15" x14ac:dyDescent="0.25">
      <c r="A72" s="18"/>
      <c r="B72" s="291"/>
      <c r="C72" s="37" t="s">
        <v>215</v>
      </c>
      <c r="D72" s="52">
        <v>613311</v>
      </c>
      <c r="E72" s="444" t="s">
        <v>329</v>
      </c>
      <c r="F72" s="39">
        <v>2454</v>
      </c>
      <c r="G72" s="39">
        <v>3100</v>
      </c>
      <c r="H72" s="39">
        <f>5500-2400-600</f>
        <v>2500</v>
      </c>
      <c r="I72" s="39"/>
      <c r="J72" s="62"/>
      <c r="K72" s="39"/>
      <c r="L72" s="62">
        <f>H72+I72+J72+K72</f>
        <v>2500</v>
      </c>
      <c r="M72" s="39">
        <v>3100</v>
      </c>
      <c r="N72" s="39">
        <v>3100</v>
      </c>
    </row>
    <row r="73" spans="1:15" x14ac:dyDescent="0.25">
      <c r="A73" s="18"/>
      <c r="B73" s="291"/>
      <c r="C73" s="555" t="s">
        <v>215</v>
      </c>
      <c r="D73" s="555">
        <v>613312</v>
      </c>
      <c r="E73" s="853" t="s">
        <v>109</v>
      </c>
      <c r="F73" s="920">
        <v>5058</v>
      </c>
      <c r="G73" s="920">
        <v>4000</v>
      </c>
      <c r="H73" s="911">
        <v>7000</v>
      </c>
      <c r="I73" s="911"/>
      <c r="J73" s="911"/>
      <c r="K73" s="911"/>
      <c r="L73" s="918">
        <f>H73+I73+J73+K73</f>
        <v>7000</v>
      </c>
      <c r="M73" s="920">
        <v>4000</v>
      </c>
      <c r="N73" s="920">
        <v>4000</v>
      </c>
    </row>
    <row r="74" spans="1:15" x14ac:dyDescent="0.25">
      <c r="A74" s="18"/>
      <c r="B74" s="291"/>
      <c r="C74" s="37" t="s">
        <v>215</v>
      </c>
      <c r="D74" s="37">
        <v>613313</v>
      </c>
      <c r="E74" s="116" t="s">
        <v>337</v>
      </c>
      <c r="F74" s="47">
        <v>4568</v>
      </c>
      <c r="G74" s="47">
        <v>4200</v>
      </c>
      <c r="H74" s="47">
        <f>(200*12)+(120*12)+(50*12)*3</f>
        <v>5640</v>
      </c>
      <c r="I74" s="45"/>
      <c r="J74" s="47"/>
      <c r="K74" s="45"/>
      <c r="L74" s="62">
        <f>H74+I74+J74+K74</f>
        <v>5640</v>
      </c>
      <c r="M74" s="47">
        <v>4200</v>
      </c>
      <c r="N74" s="47">
        <v>4200</v>
      </c>
    </row>
    <row r="75" spans="1:15" ht="31.5" customHeight="1" x14ac:dyDescent="0.25">
      <c r="A75" s="18"/>
      <c r="B75" s="291"/>
      <c r="C75" s="37" t="s">
        <v>215</v>
      </c>
      <c r="D75" s="37">
        <v>613400</v>
      </c>
      <c r="E75" s="245" t="s">
        <v>374</v>
      </c>
      <c r="F75" s="45">
        <v>6774</v>
      </c>
      <c r="G75" s="45">
        <v>5000</v>
      </c>
      <c r="H75" s="45">
        <f>7000-2000</f>
        <v>5000</v>
      </c>
      <c r="I75" s="45"/>
      <c r="J75" s="47"/>
      <c r="K75" s="45"/>
      <c r="L75" s="62">
        <f>H75+I75+J75+K75</f>
        <v>5000</v>
      </c>
      <c r="M75" s="45">
        <f>8000-1000</f>
        <v>7000</v>
      </c>
      <c r="N75" s="45">
        <f>8000-1000</f>
        <v>7000</v>
      </c>
    </row>
    <row r="76" spans="1:15" ht="18" customHeight="1" x14ac:dyDescent="0.25">
      <c r="A76" s="18"/>
      <c r="B76" s="291"/>
      <c r="C76" s="555" t="s">
        <v>215</v>
      </c>
      <c r="D76" s="849">
        <v>613814</v>
      </c>
      <c r="E76" s="850" t="s">
        <v>376</v>
      </c>
      <c r="F76" s="553">
        <v>5159</v>
      </c>
      <c r="G76" s="851">
        <f>6000-6000</f>
        <v>0</v>
      </c>
      <c r="H76" s="851"/>
      <c r="I76" s="851"/>
      <c r="J76" s="851"/>
      <c r="K76" s="851"/>
      <c r="L76" s="851">
        <f>SUM(H76:K76)</f>
        <v>0</v>
      </c>
      <c r="M76" s="851"/>
      <c r="N76" s="851"/>
    </row>
    <row r="77" spans="1:15" x14ac:dyDescent="0.25">
      <c r="A77" s="18"/>
      <c r="B77" s="291"/>
      <c r="C77" s="37" t="s">
        <v>215</v>
      </c>
      <c r="D77" s="37">
        <v>613900</v>
      </c>
      <c r="E77" s="38" t="s">
        <v>122</v>
      </c>
      <c r="F77" s="83">
        <f>F78+F79+F80+F81+F83+F84+F85+F86+F87</f>
        <v>48701</v>
      </c>
      <c r="G77" s="83">
        <f>G78+G79+G80+G81+G83+G84+G85+G86+G87</f>
        <v>90000</v>
      </c>
      <c r="H77" s="83">
        <f>H78+H79+H80+H81+H83+H84+H85+H86</f>
        <v>57000</v>
      </c>
      <c r="I77" s="83">
        <f>I78+I79+I80+I81+I83+I84+I85+I86+I676</f>
        <v>0</v>
      </c>
      <c r="J77" s="83">
        <f>J78+J79+J80+J81+J83+J84+J85+J86+J676</f>
        <v>0</v>
      </c>
      <c r="K77" s="83">
        <f>K78+K79+K80+K81+K83+K84+K85+K86+K676</f>
        <v>0</v>
      </c>
      <c r="L77" s="83">
        <f>L78+L79+L80+L81+L83+L84+L85+L86</f>
        <v>57000</v>
      </c>
      <c r="M77" s="83">
        <f>M78+M79+M80+M81+M83+M84+M85+M86</f>
        <v>66000</v>
      </c>
      <c r="N77" s="83">
        <f>N78+N79+N80+N81+N83+N84+N85+N86</f>
        <v>66000</v>
      </c>
    </row>
    <row r="78" spans="1:15" x14ac:dyDescent="0.25">
      <c r="A78" s="18"/>
      <c r="B78" s="291"/>
      <c r="C78" s="37" t="s">
        <v>215</v>
      </c>
      <c r="D78" s="37">
        <v>613914</v>
      </c>
      <c r="E78" s="444" t="s">
        <v>471</v>
      </c>
      <c r="F78" s="50">
        <v>12346</v>
      </c>
      <c r="G78" s="50">
        <v>15000</v>
      </c>
      <c r="H78" s="45">
        <f>15000-4000</f>
        <v>11000</v>
      </c>
      <c r="I78" s="45"/>
      <c r="J78" s="47"/>
      <c r="K78" s="45"/>
      <c r="L78" s="62">
        <f t="shared" ref="L78:L86" si="23">H78+I78+J78+K78</f>
        <v>11000</v>
      </c>
      <c r="M78" s="50">
        <v>15000</v>
      </c>
      <c r="N78" s="50">
        <v>15000</v>
      </c>
      <c r="O78" s="756" t="s">
        <v>936</v>
      </c>
    </row>
    <row r="79" spans="1:15" ht="21.75" customHeight="1" x14ac:dyDescent="0.25">
      <c r="A79" s="18"/>
      <c r="B79" s="291"/>
      <c r="C79" s="37" t="s">
        <v>215</v>
      </c>
      <c r="D79" s="37">
        <v>613914</v>
      </c>
      <c r="E79" s="662" t="s">
        <v>921</v>
      </c>
      <c r="F79" s="50"/>
      <c r="G79" s="50">
        <v>10000</v>
      </c>
      <c r="H79" s="47">
        <f>2000+13000-5000</f>
        <v>10000</v>
      </c>
      <c r="I79" s="45"/>
      <c r="J79" s="47"/>
      <c r="K79" s="45"/>
      <c r="L79" s="62">
        <f t="shared" si="23"/>
        <v>10000</v>
      </c>
      <c r="M79" s="852">
        <f>2000+8000</f>
        <v>10000</v>
      </c>
      <c r="N79" s="852">
        <f>2000+8000</f>
        <v>10000</v>
      </c>
    </row>
    <row r="80" spans="1:15" ht="45.75" x14ac:dyDescent="0.25">
      <c r="A80" s="18"/>
      <c r="B80" s="291"/>
      <c r="C80" s="37" t="s">
        <v>215</v>
      </c>
      <c r="D80" s="37">
        <v>613974</v>
      </c>
      <c r="E80" s="445" t="s">
        <v>922</v>
      </c>
      <c r="F80" s="96">
        <v>20421</v>
      </c>
      <c r="G80" s="96">
        <v>15000</v>
      </c>
      <c r="H80" s="911">
        <f>25000-5000</f>
        <v>20000</v>
      </c>
      <c r="I80" s="45"/>
      <c r="J80" s="47"/>
      <c r="K80" s="45"/>
      <c r="L80" s="62">
        <f t="shared" si="23"/>
        <v>20000</v>
      </c>
      <c r="M80" s="617">
        <f>13600+11400</f>
        <v>25000</v>
      </c>
      <c r="N80" s="617">
        <f>13600+11400</f>
        <v>25000</v>
      </c>
    </row>
    <row r="81" spans="1:15" ht="33" customHeight="1" x14ac:dyDescent="0.25">
      <c r="A81" s="18"/>
      <c r="B81" s="291"/>
      <c r="C81" s="37" t="s">
        <v>215</v>
      </c>
      <c r="D81" s="37">
        <v>613920</v>
      </c>
      <c r="E81" s="116" t="s">
        <v>923</v>
      </c>
      <c r="F81" s="96">
        <v>3498</v>
      </c>
      <c r="G81" s="96">
        <v>6000</v>
      </c>
      <c r="H81" s="47">
        <f>4450+1450+100</f>
        <v>6000</v>
      </c>
      <c r="I81" s="45"/>
      <c r="J81" s="47"/>
      <c r="K81" s="45"/>
      <c r="L81" s="62">
        <f t="shared" si="23"/>
        <v>6000</v>
      </c>
      <c r="M81" s="96">
        <v>6000</v>
      </c>
      <c r="N81" s="96">
        <v>6000</v>
      </c>
    </row>
    <row r="82" spans="1:15" ht="30.75" customHeight="1" x14ac:dyDescent="0.25">
      <c r="A82" s="18"/>
      <c r="B82" s="291"/>
      <c r="C82" s="37"/>
      <c r="D82" s="37"/>
      <c r="E82" s="116" t="s">
        <v>283</v>
      </c>
      <c r="F82" s="96">
        <v>1434</v>
      </c>
      <c r="G82" s="96">
        <v>1450</v>
      </c>
      <c r="H82" s="45">
        <v>1600</v>
      </c>
      <c r="I82" s="45"/>
      <c r="J82" s="47"/>
      <c r="K82" s="45"/>
      <c r="L82" s="62">
        <f t="shared" si="23"/>
        <v>1600</v>
      </c>
      <c r="M82" s="920">
        <v>1600</v>
      </c>
      <c r="N82" s="920">
        <v>1600</v>
      </c>
    </row>
    <row r="83" spans="1:15" x14ac:dyDescent="0.25">
      <c r="A83" s="18"/>
      <c r="B83" s="291"/>
      <c r="C83" s="555" t="s">
        <v>215</v>
      </c>
      <c r="D83" s="555">
        <v>613941</v>
      </c>
      <c r="E83" s="853" t="s">
        <v>924</v>
      </c>
      <c r="F83" s="920"/>
      <c r="G83" s="920">
        <v>15000</v>
      </c>
      <c r="H83" s="911"/>
      <c r="I83" s="911"/>
      <c r="J83" s="911"/>
      <c r="K83" s="911"/>
      <c r="L83" s="918">
        <f t="shared" si="23"/>
        <v>0</v>
      </c>
      <c r="M83" s="920"/>
      <c r="N83" s="920"/>
    </row>
    <row r="84" spans="1:15" ht="30.75" x14ac:dyDescent="0.25">
      <c r="A84" s="18"/>
      <c r="B84" s="291"/>
      <c r="C84" s="555" t="s">
        <v>215</v>
      </c>
      <c r="D84" s="555">
        <v>613983</v>
      </c>
      <c r="E84" s="853" t="s">
        <v>925</v>
      </c>
      <c r="F84" s="953">
        <v>10292</v>
      </c>
      <c r="G84" s="953">
        <v>12000</v>
      </c>
      <c r="H84" s="911"/>
      <c r="I84" s="911"/>
      <c r="J84" s="911"/>
      <c r="K84" s="911"/>
      <c r="L84" s="918">
        <f t="shared" si="23"/>
        <v>0</v>
      </c>
      <c r="M84" s="953"/>
      <c r="N84" s="953"/>
    </row>
    <row r="85" spans="1:15" ht="45.75" x14ac:dyDescent="0.25">
      <c r="A85" s="18"/>
      <c r="B85" s="291"/>
      <c r="C85" s="555" t="s">
        <v>215</v>
      </c>
      <c r="D85" s="555">
        <v>613991</v>
      </c>
      <c r="E85" s="853" t="s">
        <v>926</v>
      </c>
      <c r="F85" s="920"/>
      <c r="G85" s="920">
        <v>5500</v>
      </c>
      <c r="H85" s="911"/>
      <c r="I85" s="911"/>
      <c r="J85" s="911"/>
      <c r="K85" s="911"/>
      <c r="L85" s="918">
        <f t="shared" si="23"/>
        <v>0</v>
      </c>
      <c r="M85" s="920"/>
      <c r="N85" s="920"/>
    </row>
    <row r="86" spans="1:15" x14ac:dyDescent="0.25">
      <c r="A86" s="18"/>
      <c r="B86" s="291"/>
      <c r="C86" s="37" t="s">
        <v>215</v>
      </c>
      <c r="D86" s="37">
        <v>613991</v>
      </c>
      <c r="E86" s="116" t="s">
        <v>927</v>
      </c>
      <c r="F86" s="96">
        <v>1544</v>
      </c>
      <c r="G86" s="96">
        <f>4000+30000-24000</f>
        <v>10000</v>
      </c>
      <c r="H86" s="47">
        <f>8000+2000+10000-10000</f>
        <v>10000</v>
      </c>
      <c r="I86" s="45"/>
      <c r="J86" s="47"/>
      <c r="K86" s="45"/>
      <c r="L86" s="62">
        <f t="shared" si="23"/>
        <v>10000</v>
      </c>
      <c r="M86" s="96">
        <f>4000+30000-24000</f>
        <v>10000</v>
      </c>
      <c r="N86" s="96">
        <f>4000+30000-24000</f>
        <v>10000</v>
      </c>
      <c r="O86" s="756" t="s">
        <v>967</v>
      </c>
    </row>
    <row r="87" spans="1:15" x14ac:dyDescent="0.25">
      <c r="A87" s="18"/>
      <c r="B87" s="291"/>
      <c r="C87" s="37"/>
      <c r="D87" s="100">
        <v>613991</v>
      </c>
      <c r="E87" s="116" t="s">
        <v>966</v>
      </c>
      <c r="F87" s="105">
        <v>600</v>
      </c>
      <c r="G87" s="105">
        <v>1500</v>
      </c>
      <c r="H87" s="854"/>
      <c r="I87" s="854"/>
      <c r="J87" s="854"/>
      <c r="K87" s="854"/>
      <c r="L87" s="854"/>
      <c r="M87" s="855"/>
      <c r="N87" s="855"/>
    </row>
    <row r="88" spans="1:15" x14ac:dyDescent="0.25">
      <c r="A88" s="18"/>
      <c r="B88" s="291"/>
      <c r="C88" s="27"/>
      <c r="D88" s="27">
        <v>613000</v>
      </c>
      <c r="E88" s="55" t="s">
        <v>15</v>
      </c>
      <c r="F88" s="64">
        <f t="shared" ref="F88:N88" si="24">F70+F71+F75+F76+F77</f>
        <v>88966</v>
      </c>
      <c r="G88" s="64">
        <f t="shared" si="24"/>
        <v>114800</v>
      </c>
      <c r="H88" s="94">
        <f t="shared" si="24"/>
        <v>87140</v>
      </c>
      <c r="I88" s="94">
        <f t="shared" si="24"/>
        <v>0</v>
      </c>
      <c r="J88" s="391">
        <f t="shared" si="24"/>
        <v>0</v>
      </c>
      <c r="K88" s="94">
        <f t="shared" si="24"/>
        <v>0</v>
      </c>
      <c r="L88" s="64">
        <f t="shared" si="24"/>
        <v>87140</v>
      </c>
      <c r="M88" s="64">
        <f t="shared" si="24"/>
        <v>94300</v>
      </c>
      <c r="N88" s="64">
        <f t="shared" si="24"/>
        <v>94300</v>
      </c>
    </row>
    <row r="89" spans="1:15" x14ac:dyDescent="0.25">
      <c r="A89" s="18"/>
      <c r="B89" s="291"/>
      <c r="C89" s="29"/>
      <c r="D89" s="29"/>
      <c r="E89" s="30"/>
      <c r="F89" s="90"/>
      <c r="G89" s="90"/>
      <c r="H89" s="130"/>
      <c r="I89" s="130"/>
      <c r="J89" s="265"/>
      <c r="K89" s="130"/>
      <c r="L89" s="90"/>
      <c r="M89" s="90"/>
      <c r="N89" s="90"/>
    </row>
    <row r="90" spans="1:15" ht="48" customHeight="1" x14ac:dyDescent="0.25">
      <c r="A90" s="18"/>
      <c r="B90" s="291"/>
      <c r="C90" s="37" t="s">
        <v>215</v>
      </c>
      <c r="D90" s="37">
        <v>614311</v>
      </c>
      <c r="E90" s="569" t="s">
        <v>417</v>
      </c>
      <c r="F90" s="93">
        <v>2500</v>
      </c>
      <c r="G90" s="93">
        <v>2500</v>
      </c>
      <c r="H90" s="62">
        <v>2000</v>
      </c>
      <c r="I90" s="39"/>
      <c r="J90" s="62"/>
      <c r="K90" s="39"/>
      <c r="L90" s="62">
        <f>H90+I90+J90+K90</f>
        <v>2000</v>
      </c>
      <c r="M90" s="93">
        <v>2000</v>
      </c>
      <c r="N90" s="93">
        <v>2000</v>
      </c>
    </row>
    <row r="91" spans="1:15" x14ac:dyDescent="0.25">
      <c r="A91" s="18"/>
      <c r="B91" s="291"/>
      <c r="C91" s="37" t="s">
        <v>215</v>
      </c>
      <c r="D91" s="37">
        <v>614324</v>
      </c>
      <c r="E91" s="245" t="s">
        <v>608</v>
      </c>
      <c r="F91" s="39">
        <v>3600</v>
      </c>
      <c r="G91" s="39">
        <v>7200</v>
      </c>
      <c r="H91" s="47">
        <v>7200</v>
      </c>
      <c r="I91" s="45"/>
      <c r="J91" s="47"/>
      <c r="K91" s="45"/>
      <c r="L91" s="62">
        <f>H91+I91+J91+K91</f>
        <v>7200</v>
      </c>
      <c r="M91" s="39">
        <v>7200</v>
      </c>
      <c r="N91" s="39">
        <v>7200</v>
      </c>
    </row>
    <row r="92" spans="1:15" ht="30.75" x14ac:dyDescent="0.25">
      <c r="A92" s="18"/>
      <c r="B92" s="291"/>
      <c r="C92" s="37" t="s">
        <v>215</v>
      </c>
      <c r="D92" s="37">
        <v>614811</v>
      </c>
      <c r="E92" s="245" t="s">
        <v>339</v>
      </c>
      <c r="F92" s="93">
        <f>30000-25000-5000</f>
        <v>0</v>
      </c>
      <c r="G92" s="93">
        <f>30000-25000-5000</f>
        <v>0</v>
      </c>
      <c r="H92" s="47">
        <f>15000-10000-5000</f>
        <v>0</v>
      </c>
      <c r="I92" s="45"/>
      <c r="J92" s="47"/>
      <c r="K92" s="47"/>
      <c r="L92" s="62">
        <f>H92+I92+J92+K92</f>
        <v>0</v>
      </c>
      <c r="M92" s="93">
        <f>30000-25000-5000</f>
        <v>0</v>
      </c>
      <c r="N92" s="93">
        <f>30000-25000-5000</f>
        <v>0</v>
      </c>
    </row>
    <row r="93" spans="1:15" ht="30.75" x14ac:dyDescent="0.25">
      <c r="A93" s="18"/>
      <c r="B93" s="291"/>
      <c r="C93" s="37" t="s">
        <v>218</v>
      </c>
      <c r="D93" s="37">
        <v>614819</v>
      </c>
      <c r="E93" s="245" t="s">
        <v>340</v>
      </c>
      <c r="F93" s="39">
        <v>10458</v>
      </c>
      <c r="G93" s="39">
        <f>50000-25000</f>
        <v>25000</v>
      </c>
      <c r="H93" s="313"/>
      <c r="I93" s="313"/>
      <c r="J93" s="313"/>
      <c r="K93" s="313"/>
      <c r="L93" s="553">
        <f>H93+I93+J93+K93</f>
        <v>0</v>
      </c>
      <c r="M93" s="553"/>
      <c r="N93" s="553"/>
      <c r="O93" s="756" t="s">
        <v>968</v>
      </c>
    </row>
    <row r="94" spans="1:15" x14ac:dyDescent="0.25">
      <c r="A94" s="18"/>
      <c r="B94" s="291"/>
      <c r="C94" s="54"/>
      <c r="D94" s="27">
        <v>614000</v>
      </c>
      <c r="E94" s="55" t="s">
        <v>187</v>
      </c>
      <c r="F94" s="94">
        <f t="shared" ref="F94:G94" si="25">F90+F91+F92+F93</f>
        <v>16558</v>
      </c>
      <c r="G94" s="94">
        <f t="shared" si="25"/>
        <v>34700</v>
      </c>
      <c r="H94" s="94">
        <f>H90+H91+H92+H93</f>
        <v>9200</v>
      </c>
      <c r="I94" s="94">
        <f>I90+I91+I92+I93</f>
        <v>0</v>
      </c>
      <c r="J94" s="391">
        <f>J90+J91+J92+J93</f>
        <v>0</v>
      </c>
      <c r="K94" s="94">
        <f>K90+K91+K92+K93</f>
        <v>0</v>
      </c>
      <c r="L94" s="94">
        <f>L90+L91+L92+L93</f>
        <v>9200</v>
      </c>
      <c r="M94" s="94">
        <f t="shared" ref="M94:N94" si="26">M90+M91+M92+M93</f>
        <v>9200</v>
      </c>
      <c r="N94" s="94">
        <f t="shared" si="26"/>
        <v>9200</v>
      </c>
    </row>
    <row r="95" spans="1:15" x14ac:dyDescent="0.25">
      <c r="A95" s="18"/>
      <c r="B95" s="291"/>
      <c r="C95" s="66"/>
      <c r="D95" s="29"/>
      <c r="E95" s="30"/>
      <c r="F95" s="90"/>
      <c r="G95" s="90"/>
      <c r="H95" s="130"/>
      <c r="I95" s="130"/>
      <c r="J95" s="265"/>
      <c r="K95" s="130"/>
      <c r="L95" s="90"/>
      <c r="M95" s="90"/>
      <c r="N95" s="90"/>
    </row>
    <row r="96" spans="1:15" x14ac:dyDescent="0.25">
      <c r="A96" s="18"/>
      <c r="B96" s="291"/>
      <c r="C96" s="37" t="s">
        <v>215</v>
      </c>
      <c r="D96" s="37">
        <v>821300</v>
      </c>
      <c r="E96" s="446" t="s">
        <v>341</v>
      </c>
      <c r="F96" s="62">
        <v>22969</v>
      </c>
      <c r="G96" s="62">
        <f>20000-15000</f>
        <v>5000</v>
      </c>
      <c r="H96" s="62">
        <f>20000-15000</f>
        <v>5000</v>
      </c>
      <c r="I96" s="39"/>
      <c r="J96" s="62"/>
      <c r="K96" s="39"/>
      <c r="L96" s="62">
        <f>H96+I96+J96+K96</f>
        <v>5000</v>
      </c>
      <c r="M96" s="62">
        <f>20000-15000</f>
        <v>5000</v>
      </c>
      <c r="N96" s="62">
        <f>20000-15000</f>
        <v>5000</v>
      </c>
    </row>
    <row r="97" spans="1:18" ht="30.75" x14ac:dyDescent="0.25">
      <c r="A97" s="18"/>
      <c r="B97" s="291"/>
      <c r="C97" s="37" t="s">
        <v>215</v>
      </c>
      <c r="D97" s="37">
        <v>821311</v>
      </c>
      <c r="E97" s="275" t="s">
        <v>454</v>
      </c>
      <c r="F97" s="691"/>
      <c r="G97" s="691"/>
      <c r="H97" s="690"/>
      <c r="I97" s="690"/>
      <c r="J97" s="690"/>
      <c r="K97" s="690"/>
      <c r="L97" s="691">
        <f>H97+I97+J97+K97</f>
        <v>0</v>
      </c>
      <c r="M97" s="691"/>
      <c r="N97" s="691"/>
    </row>
    <row r="98" spans="1:18" x14ac:dyDescent="0.25">
      <c r="A98" s="18"/>
      <c r="B98" s="291"/>
      <c r="C98" s="54" t="s">
        <v>215</v>
      </c>
      <c r="D98" s="27">
        <v>821000</v>
      </c>
      <c r="E98" s="55" t="s">
        <v>16</v>
      </c>
      <c r="F98" s="56">
        <f t="shared" ref="F98:G98" si="27">F96</f>
        <v>22969</v>
      </c>
      <c r="G98" s="56">
        <f t="shared" si="27"/>
        <v>5000</v>
      </c>
      <c r="H98" s="78">
        <f>H96</f>
        <v>5000</v>
      </c>
      <c r="I98" s="78">
        <f>I96</f>
        <v>0</v>
      </c>
      <c r="J98" s="329">
        <f>J96</f>
        <v>0</v>
      </c>
      <c r="K98" s="78">
        <f>K96</f>
        <v>0</v>
      </c>
      <c r="L98" s="56">
        <f>L96</f>
        <v>5000</v>
      </c>
      <c r="M98" s="56">
        <f t="shared" ref="M98:N98" si="28">M96</f>
        <v>5000</v>
      </c>
      <c r="N98" s="56">
        <f t="shared" si="28"/>
        <v>5000</v>
      </c>
    </row>
    <row r="99" spans="1:18" x14ac:dyDescent="0.25">
      <c r="A99" s="18"/>
      <c r="B99" s="291"/>
      <c r="C99" s="66"/>
      <c r="D99" s="29"/>
      <c r="E99" s="30"/>
      <c r="F99" s="90"/>
      <c r="G99" s="90"/>
      <c r="H99" s="130"/>
      <c r="I99" s="130"/>
      <c r="J99" s="265"/>
      <c r="K99" s="130"/>
      <c r="L99" s="90"/>
      <c r="M99" s="90"/>
      <c r="N99" s="90"/>
    </row>
    <row r="100" spans="1:18" ht="44.25" customHeight="1" x14ac:dyDescent="0.25">
      <c r="A100" s="18"/>
      <c r="B100" s="291"/>
      <c r="C100" s="112" t="s">
        <v>217</v>
      </c>
      <c r="D100" s="91">
        <v>311000</v>
      </c>
      <c r="E100" s="448" t="s">
        <v>251</v>
      </c>
      <c r="F100" s="78"/>
      <c r="G100" s="78">
        <v>66000</v>
      </c>
      <c r="H100" s="597"/>
      <c r="I100" s="597">
        <f>330000-(330000*15%)-280500</f>
        <v>0</v>
      </c>
      <c r="J100" s="597"/>
      <c r="K100" s="260"/>
      <c r="L100" s="78">
        <f>H100+I100+J100+K100</f>
        <v>0</v>
      </c>
      <c r="M100" s="78"/>
      <c r="N100" s="78"/>
    </row>
    <row r="101" spans="1:18" x14ac:dyDescent="0.25">
      <c r="A101" s="18"/>
      <c r="B101" s="291"/>
      <c r="C101" s="29"/>
      <c r="D101" s="29"/>
      <c r="E101" s="30"/>
      <c r="F101" s="90"/>
      <c r="G101" s="90"/>
      <c r="H101" s="120"/>
      <c r="I101" s="120"/>
      <c r="J101" s="368"/>
      <c r="K101" s="120"/>
      <c r="L101" s="90"/>
      <c r="M101" s="90"/>
      <c r="N101" s="90"/>
    </row>
    <row r="102" spans="1:18" x14ac:dyDescent="0.25">
      <c r="A102" s="18"/>
      <c r="B102" s="291"/>
      <c r="C102" s="29"/>
      <c r="D102" s="29"/>
      <c r="E102" s="91" t="s">
        <v>659</v>
      </c>
      <c r="F102" s="56">
        <f t="shared" ref="F102:K102" si="29">F66+F68+F88+F94+F100+F98</f>
        <v>645838</v>
      </c>
      <c r="G102" s="56">
        <f t="shared" si="29"/>
        <v>741515</v>
      </c>
      <c r="H102" s="78">
        <f t="shared" si="29"/>
        <v>535849.6</v>
      </c>
      <c r="I102" s="78">
        <f t="shared" si="29"/>
        <v>0</v>
      </c>
      <c r="J102" s="329">
        <f t="shared" si="29"/>
        <v>0</v>
      </c>
      <c r="K102" s="78">
        <f t="shared" si="29"/>
        <v>0</v>
      </c>
      <c r="L102" s="56">
        <f>L66+L68+L88+L94+L98+L100</f>
        <v>535849.6</v>
      </c>
      <c r="M102" s="56">
        <f>M66+M68+M88+M94+M100+M98</f>
        <v>571500</v>
      </c>
      <c r="N102" s="56">
        <f>N66+N68+N88+N94+N100+N98</f>
        <v>577500</v>
      </c>
      <c r="O102" s="756" t="e">
        <f>L102+#REF!</f>
        <v>#REF!</v>
      </c>
    </row>
    <row r="103" spans="1:18" x14ac:dyDescent="0.25">
      <c r="A103" s="18"/>
      <c r="B103" s="291"/>
      <c r="C103" s="29"/>
      <c r="D103" s="29"/>
      <c r="E103" s="671"/>
      <c r="F103" s="244"/>
      <c r="G103" s="244"/>
      <c r="H103" s="265"/>
      <c r="I103" s="265"/>
      <c r="J103" s="265"/>
      <c r="K103" s="265"/>
      <c r="L103" s="244"/>
      <c r="M103" s="244"/>
      <c r="N103" s="244"/>
    </row>
    <row r="104" spans="1:18" x14ac:dyDescent="0.25">
      <c r="A104" s="17"/>
      <c r="B104" s="292">
        <v>1103</v>
      </c>
      <c r="C104" s="29"/>
      <c r="D104" s="29"/>
      <c r="E104" s="113" t="s">
        <v>131</v>
      </c>
      <c r="F104" s="90"/>
      <c r="G104" s="90"/>
      <c r="H104" s="120"/>
      <c r="I104" s="120"/>
      <c r="J104" s="605"/>
      <c r="K104" s="120"/>
      <c r="L104" s="90"/>
      <c r="M104" s="90"/>
      <c r="N104" s="90"/>
    </row>
    <row r="105" spans="1:18" x14ac:dyDescent="0.25">
      <c r="A105" s="18"/>
      <c r="B105" s="291"/>
      <c r="C105" s="29"/>
      <c r="D105" s="29"/>
      <c r="E105" s="30"/>
      <c r="F105" s="90"/>
      <c r="G105" s="90"/>
      <c r="H105" s="120"/>
      <c r="I105" s="120"/>
      <c r="J105" s="368"/>
      <c r="K105" s="120"/>
      <c r="L105" s="90"/>
      <c r="M105" s="90"/>
      <c r="N105" s="90"/>
      <c r="O105" s="813"/>
    </row>
    <row r="106" spans="1:18" ht="30.75" x14ac:dyDescent="0.25">
      <c r="A106" s="18"/>
      <c r="B106" s="291"/>
      <c r="C106" s="37" t="s">
        <v>237</v>
      </c>
      <c r="D106" s="37">
        <v>611100</v>
      </c>
      <c r="E106" s="904" t="s">
        <v>1215</v>
      </c>
      <c r="F106" s="39">
        <v>293867</v>
      </c>
      <c r="G106" s="39">
        <f>371818</f>
        <v>371818</v>
      </c>
      <c r="H106" s="62">
        <f>21000*12+(1675)*12+((2098+168+146)*12)/2</f>
        <v>286572</v>
      </c>
      <c r="I106" s="39"/>
      <c r="J106" s="62"/>
      <c r="K106" s="39"/>
      <c r="L106" s="62">
        <f>H106+I106+J106+K106</f>
        <v>286572</v>
      </c>
      <c r="M106" s="39">
        <v>320000</v>
      </c>
      <c r="N106" s="758">
        <v>350000</v>
      </c>
      <c r="O106" s="885">
        <f>20980*12+(1459+1675)*12+((2098+168+146)*12)/2</f>
        <v>303840</v>
      </c>
      <c r="P106" s="904" t="s">
        <v>1214</v>
      </c>
      <c r="R106">
        <f>20980*12+(2216+1459)*12</f>
        <v>295860</v>
      </c>
    </row>
    <row r="107" spans="1:18" x14ac:dyDescent="0.25">
      <c r="A107" s="21"/>
      <c r="B107" s="291"/>
      <c r="C107" s="100" t="s">
        <v>237</v>
      </c>
      <c r="D107" s="100">
        <v>611200</v>
      </c>
      <c r="E107" s="81" t="s">
        <v>382</v>
      </c>
      <c r="F107" s="62">
        <v>50746</v>
      </c>
      <c r="G107" s="62">
        <v>47562</v>
      </c>
      <c r="H107" s="47">
        <f>(12*22*9.3)*11-(1*22*9.3)*6+(12*460)+280*11+3762-142</f>
        <v>37999.600000000006</v>
      </c>
      <c r="I107" s="47"/>
      <c r="J107" s="47"/>
      <c r="K107" s="47"/>
      <c r="L107" s="62">
        <f>H107+I107+J107+K107</f>
        <v>37999.600000000006</v>
      </c>
      <c r="M107" s="62">
        <v>43400</v>
      </c>
      <c r="N107" s="62">
        <v>43400</v>
      </c>
      <c r="O107" s="879">
        <f>(13*22*9.3)*11+(13*460)+280*11+3762</f>
        <v>42079.8</v>
      </c>
    </row>
    <row r="108" spans="1:18" x14ac:dyDescent="0.25">
      <c r="A108" s="21"/>
      <c r="B108" s="291"/>
      <c r="C108" s="100"/>
      <c r="D108" s="100"/>
      <c r="E108" s="49" t="s">
        <v>47</v>
      </c>
      <c r="F108" s="45">
        <v>17427</v>
      </c>
      <c r="G108" s="45">
        <v>5500</v>
      </c>
      <c r="H108" s="45"/>
      <c r="I108" s="45"/>
      <c r="J108" s="47"/>
      <c r="K108" s="45"/>
      <c r="L108" s="62">
        <f>H108+I108+J108+K108</f>
        <v>0</v>
      </c>
      <c r="M108" s="45">
        <v>7000</v>
      </c>
      <c r="N108" s="45"/>
    </row>
    <row r="109" spans="1:18" x14ac:dyDescent="0.25">
      <c r="A109" s="18"/>
      <c r="B109" s="291"/>
      <c r="C109" s="27" t="s">
        <v>237</v>
      </c>
      <c r="D109" s="27">
        <v>611000</v>
      </c>
      <c r="E109" s="55" t="s">
        <v>13</v>
      </c>
      <c r="F109" s="56">
        <f t="shared" ref="F109:G109" si="30">F106+F107</f>
        <v>344613</v>
      </c>
      <c r="G109" s="56">
        <f t="shared" si="30"/>
        <v>419380</v>
      </c>
      <c r="H109" s="78">
        <f>H106+H107</f>
        <v>324571.59999999998</v>
      </c>
      <c r="I109" s="78">
        <f>I106+I107</f>
        <v>0</v>
      </c>
      <c r="J109" s="329">
        <f>J106+J107</f>
        <v>0</v>
      </c>
      <c r="K109" s="78">
        <f>K106+K107</f>
        <v>0</v>
      </c>
      <c r="L109" s="56">
        <f>L106+L107</f>
        <v>324571.59999999998</v>
      </c>
      <c r="M109" s="56">
        <f t="shared" ref="M109:N109" si="31">M106+M107</f>
        <v>363400</v>
      </c>
      <c r="N109" s="56">
        <f t="shared" si="31"/>
        <v>393400</v>
      </c>
    </row>
    <row r="110" spans="1:18" x14ac:dyDescent="0.25">
      <c r="A110" s="18"/>
      <c r="B110" s="291"/>
      <c r="C110" s="29"/>
      <c r="D110" s="29"/>
      <c r="E110" s="30"/>
      <c r="F110" s="90"/>
      <c r="G110" s="90"/>
      <c r="H110" s="120"/>
      <c r="I110" s="120"/>
      <c r="J110" s="368"/>
      <c r="K110" s="120"/>
      <c r="L110" s="90"/>
      <c r="M110" s="90"/>
      <c r="N110" s="90"/>
    </row>
    <row r="111" spans="1:18" x14ac:dyDescent="0.25">
      <c r="A111" s="18"/>
      <c r="B111" s="291"/>
      <c r="C111" s="27" t="s">
        <v>237</v>
      </c>
      <c r="D111" s="27">
        <v>612111</v>
      </c>
      <c r="E111" s="443" t="s">
        <v>333</v>
      </c>
      <c r="F111" s="78">
        <v>31716</v>
      </c>
      <c r="G111" s="78">
        <v>40768</v>
      </c>
      <c r="H111" s="78">
        <f>2203*12+(180+153)*12+568+((220+18+16)*12)/2-1524</f>
        <v>31000</v>
      </c>
      <c r="I111" s="78"/>
      <c r="J111" s="329"/>
      <c r="K111" s="78"/>
      <c r="L111" s="78">
        <f>H111+I111+J111+K111</f>
        <v>31000</v>
      </c>
      <c r="M111" s="78">
        <f>M106*10.5%</f>
        <v>33600</v>
      </c>
      <c r="N111" s="78">
        <f>N106*10.5%</f>
        <v>36750</v>
      </c>
      <c r="O111" s="756">
        <f>286572*10.5/100</f>
        <v>30090.06</v>
      </c>
      <c r="P111" s="755">
        <f>152*12</f>
        <v>1824</v>
      </c>
      <c r="R111">
        <f>2203*12+(233+153+153)*12</f>
        <v>32904</v>
      </c>
    </row>
    <row r="112" spans="1:18" x14ac:dyDescent="0.25">
      <c r="A112" s="18"/>
      <c r="B112" s="291"/>
      <c r="C112" s="29"/>
      <c r="D112" s="29"/>
      <c r="E112" s="30"/>
      <c r="F112" s="90"/>
      <c r="G112" s="90"/>
      <c r="H112" s="120"/>
      <c r="I112" s="120"/>
      <c r="J112" s="368"/>
      <c r="K112" s="120"/>
      <c r="L112" s="90"/>
      <c r="M112" s="90"/>
      <c r="N112" s="90"/>
    </row>
    <row r="113" spans="1:14" x14ac:dyDescent="0.25">
      <c r="A113" s="18"/>
      <c r="B113" s="291"/>
      <c r="C113" s="37" t="s">
        <v>237</v>
      </c>
      <c r="D113" s="37">
        <v>613100</v>
      </c>
      <c r="E113" s="38" t="s">
        <v>93</v>
      </c>
      <c r="F113" s="39">
        <v>160</v>
      </c>
      <c r="G113" s="39">
        <v>1000</v>
      </c>
      <c r="H113" s="62">
        <v>2000</v>
      </c>
      <c r="I113" s="39"/>
      <c r="J113" s="62"/>
      <c r="K113" s="39"/>
      <c r="L113" s="39">
        <f>H113+I113+J113+K113</f>
        <v>2000</v>
      </c>
      <c r="M113" s="39">
        <v>2000</v>
      </c>
      <c r="N113" s="39">
        <v>2000</v>
      </c>
    </row>
    <row r="114" spans="1:14" x14ac:dyDescent="0.25">
      <c r="A114" s="18"/>
      <c r="B114" s="291"/>
      <c r="C114" s="37" t="s">
        <v>237</v>
      </c>
      <c r="D114" s="43">
        <v>613300</v>
      </c>
      <c r="E114" s="63" t="s">
        <v>384</v>
      </c>
      <c r="F114" s="95">
        <f t="shared" ref="F114:G114" si="32">F115+F116</f>
        <v>1969</v>
      </c>
      <c r="G114" s="95">
        <f t="shared" si="32"/>
        <v>2700</v>
      </c>
      <c r="H114" s="95">
        <f>H115+H116</f>
        <v>2100</v>
      </c>
      <c r="I114" s="95">
        <f>I115+I116</f>
        <v>0</v>
      </c>
      <c r="J114" s="95">
        <f>J115+J116</f>
        <v>0</v>
      </c>
      <c r="K114" s="95">
        <f>K115+K116</f>
        <v>0</v>
      </c>
      <c r="L114" s="95">
        <f>L115+L116</f>
        <v>2100</v>
      </c>
      <c r="M114" s="95">
        <f t="shared" ref="M114:N114" si="33">M115+M116</f>
        <v>1900</v>
      </c>
      <c r="N114" s="95">
        <f t="shared" si="33"/>
        <v>1900</v>
      </c>
    </row>
    <row r="115" spans="1:14" x14ac:dyDescent="0.25">
      <c r="A115" s="18"/>
      <c r="B115" s="291"/>
      <c r="C115" s="37" t="s">
        <v>237</v>
      </c>
      <c r="D115" s="52">
        <v>613311</v>
      </c>
      <c r="E115" s="444" t="s">
        <v>329</v>
      </c>
      <c r="F115" s="62">
        <v>1384</v>
      </c>
      <c r="G115" s="62">
        <v>2100</v>
      </c>
      <c r="H115" s="62">
        <f>1300+800-600</f>
        <v>1500</v>
      </c>
      <c r="I115" s="39"/>
      <c r="J115" s="62"/>
      <c r="K115" s="39"/>
      <c r="L115" s="62">
        <f>H115+I115+J115+K115</f>
        <v>1500</v>
      </c>
      <c r="M115" s="62">
        <v>1300</v>
      </c>
      <c r="N115" s="62">
        <v>1300</v>
      </c>
    </row>
    <row r="116" spans="1:14" x14ac:dyDescent="0.25">
      <c r="A116" s="18"/>
      <c r="B116" s="291"/>
      <c r="C116" s="37" t="s">
        <v>237</v>
      </c>
      <c r="D116" s="37">
        <v>613313</v>
      </c>
      <c r="E116" s="444" t="s">
        <v>330</v>
      </c>
      <c r="F116" s="47">
        <v>585</v>
      </c>
      <c r="G116" s="47">
        <v>600</v>
      </c>
      <c r="H116" s="47">
        <f>(50*12)</f>
        <v>600</v>
      </c>
      <c r="I116" s="45"/>
      <c r="J116" s="47"/>
      <c r="K116" s="45"/>
      <c r="L116" s="39">
        <f>H116+I116+J116+K116</f>
        <v>600</v>
      </c>
      <c r="M116" s="47">
        <v>600</v>
      </c>
      <c r="N116" s="47">
        <v>600</v>
      </c>
    </row>
    <row r="117" spans="1:14" ht="31.5" customHeight="1" x14ac:dyDescent="0.25">
      <c r="A117" s="18"/>
      <c r="B117" s="291"/>
      <c r="C117" s="37" t="s">
        <v>237</v>
      </c>
      <c r="D117" s="37">
        <v>613400</v>
      </c>
      <c r="E117" s="632" t="s">
        <v>374</v>
      </c>
      <c r="F117" s="45">
        <v>4790</v>
      </c>
      <c r="G117" s="45">
        <v>7000</v>
      </c>
      <c r="H117" s="45">
        <v>10000</v>
      </c>
      <c r="I117" s="45"/>
      <c r="J117" s="47"/>
      <c r="K117" s="45"/>
      <c r="L117" s="39">
        <f>H117+I117+J117+K117</f>
        <v>10000</v>
      </c>
      <c r="M117" s="45">
        <f>13000-3000</f>
        <v>10000</v>
      </c>
      <c r="N117" s="45">
        <f>13000-3000</f>
        <v>10000</v>
      </c>
    </row>
    <row r="118" spans="1:14" ht="30.75" x14ac:dyDescent="0.25">
      <c r="A118" s="18"/>
      <c r="B118" s="291"/>
      <c r="C118" s="37" t="s">
        <v>237</v>
      </c>
      <c r="D118" s="37">
        <v>613722</v>
      </c>
      <c r="E118" s="245" t="s">
        <v>331</v>
      </c>
      <c r="F118" s="45">
        <v>5841</v>
      </c>
      <c r="G118" s="45">
        <v>7000</v>
      </c>
      <c r="H118" s="45">
        <v>7000</v>
      </c>
      <c r="I118" s="45"/>
      <c r="J118" s="47"/>
      <c r="K118" s="45"/>
      <c r="L118" s="39">
        <f>H118+I118+J118+K118</f>
        <v>7000</v>
      </c>
      <c r="M118" s="45">
        <v>7000</v>
      </c>
      <c r="N118" s="45">
        <v>7000</v>
      </c>
    </row>
    <row r="119" spans="1:14" ht="30" x14ac:dyDescent="0.25">
      <c r="A119" s="18"/>
      <c r="B119" s="291"/>
      <c r="C119" s="98" t="s">
        <v>237</v>
      </c>
      <c r="D119" s="98">
        <v>613820</v>
      </c>
      <c r="E119" s="442" t="s">
        <v>377</v>
      </c>
      <c r="F119" s="47">
        <v>411</v>
      </c>
      <c r="G119" s="47">
        <v>1000</v>
      </c>
      <c r="H119" s="47">
        <f>5*12+140+300+500</f>
        <v>1000</v>
      </c>
      <c r="I119" s="47"/>
      <c r="J119" s="47"/>
      <c r="K119" s="47"/>
      <c r="L119" s="62">
        <f>H119+I119+J119+K119</f>
        <v>1000</v>
      </c>
      <c r="M119" s="47">
        <f>200+300</f>
        <v>500</v>
      </c>
      <c r="N119" s="47">
        <v>200</v>
      </c>
    </row>
    <row r="120" spans="1:14" x14ac:dyDescent="0.25">
      <c r="A120" s="18"/>
      <c r="B120" s="291"/>
      <c r="C120" s="37" t="s">
        <v>237</v>
      </c>
      <c r="D120" s="37">
        <v>613900</v>
      </c>
      <c r="E120" s="38" t="s">
        <v>293</v>
      </c>
      <c r="F120" s="40">
        <f t="shared" ref="F120:G120" si="34">F121+F122+F123+F124+F125</f>
        <v>1854</v>
      </c>
      <c r="G120" s="40">
        <f t="shared" si="34"/>
        <v>21800</v>
      </c>
      <c r="H120" s="40">
        <f>H121+H122+H123+H124+H125</f>
        <v>21800</v>
      </c>
      <c r="I120" s="40">
        <f>I121+I122+I123+I124+I125</f>
        <v>0</v>
      </c>
      <c r="J120" s="40">
        <f>J121+J122+J123+J124+J125</f>
        <v>0</v>
      </c>
      <c r="K120" s="40">
        <f>K121+K122+K123+K124+K125</f>
        <v>0</v>
      </c>
      <c r="L120" s="40">
        <f>L121+L122+L123+L124+L125</f>
        <v>21800</v>
      </c>
      <c r="M120" s="40">
        <f t="shared" ref="M120" si="35">M121+M122+M123+M124+M125</f>
        <v>15300</v>
      </c>
      <c r="N120" s="40">
        <f>N121+N122+N123+N124+N125</f>
        <v>15300</v>
      </c>
    </row>
    <row r="121" spans="1:14" x14ac:dyDescent="0.25">
      <c r="A121" s="18"/>
      <c r="B121" s="291"/>
      <c r="C121" s="37" t="s">
        <v>237</v>
      </c>
      <c r="D121" s="37">
        <v>613914</v>
      </c>
      <c r="E121" s="444" t="s">
        <v>522</v>
      </c>
      <c r="F121" s="626">
        <v>643</v>
      </c>
      <c r="G121" s="626">
        <v>1000</v>
      </c>
      <c r="H121" s="45">
        <v>1000</v>
      </c>
      <c r="I121" s="84"/>
      <c r="J121" s="598"/>
      <c r="K121" s="84"/>
      <c r="L121" s="39">
        <f>H121+I121+J121+K121</f>
        <v>1000</v>
      </c>
      <c r="M121" s="626">
        <v>1000</v>
      </c>
      <c r="N121" s="626">
        <v>1000</v>
      </c>
    </row>
    <row r="122" spans="1:14" ht="30.75" customHeight="1" x14ac:dyDescent="0.25">
      <c r="A122" s="18"/>
      <c r="B122" s="291"/>
      <c r="C122" s="37" t="s">
        <v>237</v>
      </c>
      <c r="D122" s="37">
        <v>613920</v>
      </c>
      <c r="E122" s="116" t="s">
        <v>332</v>
      </c>
      <c r="F122" s="50">
        <v>1211</v>
      </c>
      <c r="G122" s="50">
        <f>2000-200</f>
        <v>1800</v>
      </c>
      <c r="H122" s="45">
        <f>2000-200</f>
        <v>1800</v>
      </c>
      <c r="I122" s="45"/>
      <c r="J122" s="47"/>
      <c r="K122" s="45"/>
      <c r="L122" s="39">
        <f>H122+I122+J122+K122</f>
        <v>1800</v>
      </c>
      <c r="M122" s="50">
        <f>2000-200</f>
        <v>1800</v>
      </c>
      <c r="N122" s="50">
        <f>2000-200</f>
        <v>1800</v>
      </c>
    </row>
    <row r="123" spans="1:14" x14ac:dyDescent="0.25">
      <c r="A123" s="18"/>
      <c r="B123" s="291"/>
      <c r="C123" s="37" t="s">
        <v>237</v>
      </c>
      <c r="D123" s="37">
        <v>613931</v>
      </c>
      <c r="E123" s="85" t="s">
        <v>526</v>
      </c>
      <c r="F123" s="97"/>
      <c r="G123" s="97">
        <v>7000</v>
      </c>
      <c r="H123" s="48">
        <v>7000</v>
      </c>
      <c r="I123" s="48"/>
      <c r="J123" s="300"/>
      <c r="K123" s="48"/>
      <c r="L123" s="62">
        <f>H123+I123+J123+K123</f>
        <v>7000</v>
      </c>
      <c r="M123" s="97">
        <v>500</v>
      </c>
      <c r="N123" s="97">
        <v>500</v>
      </c>
    </row>
    <row r="124" spans="1:14" x14ac:dyDescent="0.25">
      <c r="A124" s="18"/>
      <c r="B124" s="291"/>
      <c r="C124" s="37" t="s">
        <v>237</v>
      </c>
      <c r="D124" s="37">
        <v>613997</v>
      </c>
      <c r="E124" s="85" t="s">
        <v>527</v>
      </c>
      <c r="F124" s="97"/>
      <c r="G124" s="97">
        <f>30000-20000</f>
        <v>10000</v>
      </c>
      <c r="H124" s="300">
        <f>30000-20000</f>
        <v>10000</v>
      </c>
      <c r="I124" s="48"/>
      <c r="J124" s="300"/>
      <c r="K124" s="48"/>
      <c r="L124" s="62">
        <f>H124+I124+J124+K124</f>
        <v>10000</v>
      </c>
      <c r="M124" s="97">
        <f>30000-20000</f>
        <v>10000</v>
      </c>
      <c r="N124" s="97">
        <f>30000-20000</f>
        <v>10000</v>
      </c>
    </row>
    <row r="125" spans="1:14" x14ac:dyDescent="0.25">
      <c r="A125" s="18"/>
      <c r="B125" s="291"/>
      <c r="C125" s="37" t="s">
        <v>237</v>
      </c>
      <c r="D125" s="37">
        <v>613991</v>
      </c>
      <c r="E125" s="116" t="s">
        <v>549</v>
      </c>
      <c r="F125" s="97"/>
      <c r="G125" s="97">
        <v>2000</v>
      </c>
      <c r="H125" s="300">
        <v>2000</v>
      </c>
      <c r="I125" s="48"/>
      <c r="J125" s="300"/>
      <c r="K125" s="48"/>
      <c r="L125" s="62">
        <f>H125+I125+J125+K125</f>
        <v>2000</v>
      </c>
      <c r="M125" s="97">
        <v>2000</v>
      </c>
      <c r="N125" s="97">
        <v>2000</v>
      </c>
    </row>
    <row r="126" spans="1:14" x14ac:dyDescent="0.25">
      <c r="A126" s="18"/>
      <c r="B126" s="291"/>
      <c r="C126" s="27"/>
      <c r="D126" s="27">
        <v>613000</v>
      </c>
      <c r="E126" s="55" t="s">
        <v>15</v>
      </c>
      <c r="F126" s="78">
        <f t="shared" ref="F126:G126" si="36">F113+F114+F117+F118+F119+F120</f>
        <v>15025</v>
      </c>
      <c r="G126" s="78">
        <f t="shared" si="36"/>
        <v>40500</v>
      </c>
      <c r="H126" s="78">
        <f>H113+H114+H117+H118+H119+H120</f>
        <v>43900</v>
      </c>
      <c r="I126" s="78">
        <f>I113+I114+I117+I118+I119+I120</f>
        <v>0</v>
      </c>
      <c r="J126" s="78">
        <f>J113+J114+J117+J118+J119+J120</f>
        <v>0</v>
      </c>
      <c r="K126" s="78">
        <f>K113+K114+K117+K118+K119+K120</f>
        <v>0</v>
      </c>
      <c r="L126" s="78">
        <f>L113+L114+L117+L118+L119+L120</f>
        <v>43900</v>
      </c>
      <c r="M126" s="78">
        <f t="shared" ref="M126:N126" si="37">M113+M114+M117+M118+M119+M120</f>
        <v>36700</v>
      </c>
      <c r="N126" s="78">
        <f t="shared" si="37"/>
        <v>36400</v>
      </c>
    </row>
    <row r="127" spans="1:14" x14ac:dyDescent="0.25">
      <c r="A127" s="18"/>
      <c r="B127" s="291"/>
      <c r="C127" s="29"/>
      <c r="D127" s="29"/>
      <c r="E127" s="30"/>
      <c r="F127" s="90"/>
      <c r="G127" s="90"/>
      <c r="H127" s="258"/>
      <c r="I127" s="258"/>
      <c r="J127" s="603"/>
      <c r="K127" s="258"/>
      <c r="L127" s="90"/>
      <c r="M127" s="90"/>
      <c r="N127" s="90"/>
    </row>
    <row r="128" spans="1:14" ht="31.5" x14ac:dyDescent="0.25">
      <c r="A128" s="18"/>
      <c r="B128" s="291"/>
      <c r="C128" s="286" t="s">
        <v>215</v>
      </c>
      <c r="D128" s="286">
        <v>614811</v>
      </c>
      <c r="E128" s="448" t="s">
        <v>339</v>
      </c>
      <c r="F128" s="485">
        <v>11637</v>
      </c>
      <c r="G128" s="485">
        <v>30000</v>
      </c>
      <c r="H128" s="329">
        <v>30000</v>
      </c>
      <c r="I128" s="329"/>
      <c r="J128" s="329"/>
      <c r="K128" s="329"/>
      <c r="L128" s="329">
        <f>H128+I128+J128+K128</f>
        <v>30000</v>
      </c>
      <c r="M128" s="485">
        <v>30000</v>
      </c>
      <c r="N128" s="485">
        <v>30000</v>
      </c>
    </row>
    <row r="129" spans="1:16" x14ac:dyDescent="0.25">
      <c r="A129" s="18"/>
      <c r="B129" s="291"/>
      <c r="C129" s="29"/>
      <c r="D129" s="29"/>
      <c r="E129" s="30"/>
      <c r="F129" s="90"/>
      <c r="G129" s="90"/>
      <c r="H129" s="120"/>
      <c r="I129" s="120"/>
      <c r="J129" s="368"/>
      <c r="K129" s="120"/>
      <c r="L129" s="90"/>
      <c r="M129" s="90"/>
      <c r="N129" s="90"/>
    </row>
    <row r="130" spans="1:16" ht="30" x14ac:dyDescent="0.25">
      <c r="A130" s="18"/>
      <c r="B130" s="291"/>
      <c r="C130" s="306" t="s">
        <v>217</v>
      </c>
      <c r="D130" s="306">
        <v>616331</v>
      </c>
      <c r="E130" s="631" t="s">
        <v>67</v>
      </c>
      <c r="F130" s="668">
        <v>12680</v>
      </c>
      <c r="G130" s="668">
        <v>26300</v>
      </c>
      <c r="H130" s="553">
        <v>21150</v>
      </c>
      <c r="I130" s="308"/>
      <c r="J130" s="308"/>
      <c r="K130" s="308"/>
      <c r="L130" s="308">
        <f>H130+I130+J130+K130</f>
        <v>21150</v>
      </c>
      <c r="M130" s="668">
        <f>(1724.48+1684.37+1644.27+1604.17+1564.06+1523.96+1483.85+1443.75+1403.65+1363.54+1323.44+1283.33)+3100</f>
        <v>21146.870000000003</v>
      </c>
      <c r="N130" s="668">
        <f>(1243.23+1203.12+1163.02+1122.92+1082.81+1042.71+1002.6+962.5+922.4+882.29+842.19+802.08)+2300</f>
        <v>14571.869999999999</v>
      </c>
    </row>
    <row r="131" spans="1:16" ht="30.75" x14ac:dyDescent="0.25">
      <c r="A131" s="18"/>
      <c r="B131" s="291"/>
      <c r="C131" s="531" t="s">
        <v>217</v>
      </c>
      <c r="D131" s="532">
        <v>616212</v>
      </c>
      <c r="E131" s="533" t="s">
        <v>284</v>
      </c>
      <c r="F131" s="487">
        <v>3629</v>
      </c>
      <c r="G131" s="487">
        <v>15773</v>
      </c>
      <c r="H131" s="308">
        <v>20000</v>
      </c>
      <c r="I131" s="308"/>
      <c r="J131" s="308"/>
      <c r="K131" s="308"/>
      <c r="L131" s="308">
        <f>H131+I131+J131+K131</f>
        <v>20000</v>
      </c>
      <c r="M131" s="487">
        <v>24051</v>
      </c>
      <c r="N131" s="487">
        <v>24051</v>
      </c>
    </row>
    <row r="132" spans="1:16" x14ac:dyDescent="0.25">
      <c r="A132" s="18"/>
      <c r="B132" s="291"/>
      <c r="C132" s="54"/>
      <c r="D132" s="27">
        <v>616000</v>
      </c>
      <c r="E132" s="55" t="s">
        <v>68</v>
      </c>
      <c r="F132" s="56">
        <f t="shared" ref="F132:G132" si="38">F130+F131</f>
        <v>16309</v>
      </c>
      <c r="G132" s="56">
        <f t="shared" si="38"/>
        <v>42073</v>
      </c>
      <c r="H132" s="78">
        <f>H130+H131</f>
        <v>41150</v>
      </c>
      <c r="I132" s="78">
        <f>I130+I131</f>
        <v>0</v>
      </c>
      <c r="J132" s="329">
        <f>J130+J131</f>
        <v>0</v>
      </c>
      <c r="K132" s="78">
        <f>K130+K131</f>
        <v>0</v>
      </c>
      <c r="L132" s="56">
        <f>L130+L131</f>
        <v>41150</v>
      </c>
      <c r="M132" s="56">
        <f t="shared" ref="M132:N132" si="39">M130+M131</f>
        <v>45197.87</v>
      </c>
      <c r="N132" s="56">
        <f t="shared" si="39"/>
        <v>38622.869999999995</v>
      </c>
    </row>
    <row r="133" spans="1:16" x14ac:dyDescent="0.25">
      <c r="A133" s="18"/>
      <c r="B133" s="291"/>
      <c r="C133" s="29"/>
      <c r="D133" s="29"/>
      <c r="E133" s="30"/>
      <c r="F133" s="90"/>
      <c r="G133" s="90"/>
      <c r="H133" s="120"/>
      <c r="I133" s="120"/>
      <c r="J133" s="368"/>
      <c r="K133" s="120"/>
      <c r="L133" s="90"/>
      <c r="M133" s="90"/>
      <c r="N133" s="90"/>
    </row>
    <row r="134" spans="1:16" x14ac:dyDescent="0.25">
      <c r="A134" s="18"/>
      <c r="B134" s="291"/>
      <c r="C134" s="54" t="s">
        <v>217</v>
      </c>
      <c r="D134" s="27">
        <v>823331</v>
      </c>
      <c r="E134" s="55" t="s">
        <v>148</v>
      </c>
      <c r="F134" s="485">
        <v>87500</v>
      </c>
      <c r="G134" s="485">
        <f>210000+20000</f>
        <v>230000</v>
      </c>
      <c r="H134" s="78">
        <f>17500*12</f>
        <v>210000</v>
      </c>
      <c r="I134" s="78"/>
      <c r="J134" s="329">
        <f>17500*12-210000</f>
        <v>0</v>
      </c>
      <c r="K134" s="329"/>
      <c r="L134" s="485">
        <f>H134+I134+J134+K134</f>
        <v>210000</v>
      </c>
      <c r="M134" s="485">
        <f>210000</f>
        <v>210000</v>
      </c>
      <c r="N134" s="485">
        <f>210000</f>
        <v>210000</v>
      </c>
    </row>
    <row r="135" spans="1:16" ht="21" customHeight="1" x14ac:dyDescent="0.25">
      <c r="A135" s="18"/>
      <c r="B135" s="291"/>
      <c r="C135" s="112" t="s">
        <v>217</v>
      </c>
      <c r="D135" s="91">
        <v>823212</v>
      </c>
      <c r="E135" s="55" t="s">
        <v>907</v>
      </c>
      <c r="F135" s="78"/>
      <c r="G135" s="78"/>
      <c r="H135" s="329">
        <v>20000</v>
      </c>
      <c r="I135" s="597">
        <f>330000-(330000*15%)-280500</f>
        <v>0</v>
      </c>
      <c r="J135" s="597"/>
      <c r="K135" s="260"/>
      <c r="L135" s="78">
        <f>H135+I135+J135+K135</f>
        <v>20000</v>
      </c>
      <c r="M135" s="78">
        <v>100000</v>
      </c>
      <c r="N135" s="78">
        <v>200000</v>
      </c>
    </row>
    <row r="136" spans="1:16" x14ac:dyDescent="0.25">
      <c r="A136" s="18"/>
      <c r="B136" s="291"/>
      <c r="C136" s="29"/>
      <c r="D136" s="29"/>
      <c r="E136" s="30"/>
      <c r="F136" s="90"/>
      <c r="G136" s="90"/>
      <c r="H136" s="120"/>
      <c r="I136" s="120"/>
      <c r="J136" s="368"/>
      <c r="K136" s="120"/>
      <c r="L136" s="90"/>
      <c r="M136" s="90"/>
      <c r="N136" s="90"/>
    </row>
    <row r="137" spans="1:16" x14ac:dyDescent="0.25">
      <c r="A137" s="18"/>
      <c r="B137" s="291"/>
      <c r="C137" s="37" t="s">
        <v>237</v>
      </c>
      <c r="D137" s="37">
        <v>821300</v>
      </c>
      <c r="E137" s="38" t="s">
        <v>1088</v>
      </c>
      <c r="F137" s="117"/>
      <c r="G137" s="117">
        <v>5000</v>
      </c>
      <c r="H137" s="62">
        <v>5000</v>
      </c>
      <c r="I137" s="62"/>
      <c r="J137" s="117"/>
      <c r="K137" s="117"/>
      <c r="L137" s="62">
        <f>H137+I137+J137+K137</f>
        <v>5000</v>
      </c>
      <c r="M137" s="117"/>
      <c r="N137" s="117"/>
    </row>
    <row r="138" spans="1:16" ht="60" x14ac:dyDescent="0.25">
      <c r="A138" s="18"/>
      <c r="B138" s="291"/>
      <c r="C138" s="37" t="s">
        <v>237</v>
      </c>
      <c r="D138" s="179" t="s">
        <v>616</v>
      </c>
      <c r="E138" s="569" t="s">
        <v>618</v>
      </c>
      <c r="F138" s="39"/>
      <c r="G138" s="39">
        <v>59100</v>
      </c>
      <c r="H138" s="62">
        <f>50000-6605</f>
        <v>43395</v>
      </c>
      <c r="I138" s="39"/>
      <c r="J138" s="62"/>
      <c r="K138" s="39"/>
      <c r="L138" s="62">
        <f>H138+I138+J138+K138</f>
        <v>43395</v>
      </c>
      <c r="M138" s="39"/>
      <c r="N138" s="39"/>
    </row>
    <row r="139" spans="1:16" ht="30" x14ac:dyDescent="0.25">
      <c r="A139" s="869"/>
      <c r="B139" s="291"/>
      <c r="C139" s="874"/>
      <c r="D139" s="179"/>
      <c r="E139" s="569" t="s">
        <v>1211</v>
      </c>
      <c r="F139" s="876"/>
      <c r="G139" s="876"/>
      <c r="H139" s="885">
        <v>7000</v>
      </c>
      <c r="I139" s="876"/>
      <c r="J139" s="885"/>
      <c r="K139" s="876"/>
      <c r="L139" s="885">
        <f>H139+I139+J139+K139</f>
        <v>7000</v>
      </c>
      <c r="M139" s="876"/>
      <c r="N139" s="876"/>
      <c r="P139" s="1009"/>
    </row>
    <row r="140" spans="1:16" x14ac:dyDescent="0.25">
      <c r="A140" s="18"/>
      <c r="B140" s="291"/>
      <c r="C140" s="54" t="s">
        <v>215</v>
      </c>
      <c r="D140" s="27">
        <v>821000</v>
      </c>
      <c r="E140" s="55" t="s">
        <v>16</v>
      </c>
      <c r="F140" s="78">
        <f t="shared" ref="F140:G140" si="40">F137+F138</f>
        <v>0</v>
      </c>
      <c r="G140" s="78">
        <f t="shared" si="40"/>
        <v>64100</v>
      </c>
      <c r="H140" s="78">
        <f>H137+H138</f>
        <v>48395</v>
      </c>
      <c r="I140" s="78">
        <f>I137+I138</f>
        <v>0</v>
      </c>
      <c r="J140" s="78">
        <f>J137+J138</f>
        <v>0</v>
      </c>
      <c r="K140" s="78">
        <f>K137+K138</f>
        <v>0</v>
      </c>
      <c r="L140" s="78">
        <f>L137+L138</f>
        <v>48395</v>
      </c>
      <c r="M140" s="78">
        <f t="shared" ref="M140:N140" si="41">M137+M138</f>
        <v>0</v>
      </c>
      <c r="N140" s="78">
        <f t="shared" si="41"/>
        <v>0</v>
      </c>
    </row>
    <row r="141" spans="1:16" x14ac:dyDescent="0.25">
      <c r="A141" s="18"/>
      <c r="B141" s="291"/>
      <c r="C141" s="29"/>
      <c r="D141" s="29"/>
      <c r="E141" s="30"/>
      <c r="F141" s="90"/>
      <c r="G141" s="90"/>
      <c r="H141" s="120"/>
      <c r="I141" s="120"/>
      <c r="J141" s="368"/>
      <c r="K141" s="120"/>
      <c r="L141" s="90"/>
      <c r="M141" s="90"/>
      <c r="N141" s="90"/>
    </row>
    <row r="142" spans="1:16" x14ac:dyDescent="0.25">
      <c r="A142" s="18"/>
      <c r="B142" s="291"/>
      <c r="C142" s="29"/>
      <c r="D142" s="29"/>
      <c r="E142" s="91" t="s">
        <v>660</v>
      </c>
      <c r="F142" s="78">
        <f>F109+F111+F126+F128+F132+F134+F135+F140</f>
        <v>506800</v>
      </c>
      <c r="G142" s="78">
        <f>G109+G111+G126+G128+G132+G134+G135+G140</f>
        <v>866821</v>
      </c>
      <c r="H142" s="78">
        <f>H109+H111+H126+H128+H132+H134+H135+H140</f>
        <v>749016.6</v>
      </c>
      <c r="I142" s="78">
        <f>I109+I111+I126+I128+I132+I134+I140</f>
        <v>0</v>
      </c>
      <c r="J142" s="78">
        <f>J109+J111+J126+J128+J132+J134+J140</f>
        <v>0</v>
      </c>
      <c r="K142" s="78">
        <f>K109+K111+K126+K128+K132+K134+K140</f>
        <v>0</v>
      </c>
      <c r="L142" s="78">
        <f>L109+L111+L126+L128+L132+L134+L135+L140</f>
        <v>749016.6</v>
      </c>
      <c r="M142" s="78">
        <f>M109+M111+M126+M128+M132+M134+M135+M140</f>
        <v>818897.87</v>
      </c>
      <c r="N142" s="78">
        <f>N109+N111+N126+N128+N132+N134+N135+N140</f>
        <v>945172.87</v>
      </c>
    </row>
    <row r="144" spans="1:16" ht="46.5" customHeight="1" x14ac:dyDescent="0.25">
      <c r="A144" s="17"/>
      <c r="B144" s="294">
        <v>1104</v>
      </c>
      <c r="C144" s="29"/>
      <c r="D144" s="29"/>
      <c r="E144" s="75" t="s">
        <v>630</v>
      </c>
      <c r="F144" s="33"/>
      <c r="G144" s="33"/>
      <c r="H144" s="120"/>
      <c r="I144" s="120"/>
      <c r="J144" s="368"/>
      <c r="K144" s="120"/>
      <c r="L144" s="15"/>
      <c r="M144" s="33"/>
      <c r="N144" s="33"/>
    </row>
    <row r="145" spans="1:17" x14ac:dyDescent="0.25">
      <c r="A145" s="18"/>
      <c r="B145" s="291"/>
      <c r="C145" s="29"/>
      <c r="D145" s="29"/>
      <c r="E145" s="30"/>
      <c r="F145" s="244"/>
      <c r="G145" s="244"/>
      <c r="H145" s="368"/>
      <c r="I145" s="120"/>
      <c r="J145" s="368"/>
      <c r="K145" s="120"/>
      <c r="L145" s="90"/>
      <c r="M145" s="244"/>
      <c r="N145" s="244"/>
      <c r="O145" s="756" t="s">
        <v>1175</v>
      </c>
    </row>
    <row r="146" spans="1:17" ht="30.75" customHeight="1" x14ac:dyDescent="0.25">
      <c r="A146" s="18"/>
      <c r="B146" s="291"/>
      <c r="C146" s="37" t="s">
        <v>215</v>
      </c>
      <c r="D146" s="37">
        <v>611100</v>
      </c>
      <c r="E146" s="904" t="s">
        <v>1225</v>
      </c>
      <c r="F146" s="39">
        <v>518810</v>
      </c>
      <c r="G146" s="39">
        <v>548098</v>
      </c>
      <c r="H146" s="62">
        <f>46300*12+((4625+222+146)*12)/2</f>
        <v>585558</v>
      </c>
      <c r="I146" s="39"/>
      <c r="J146" s="62"/>
      <c r="K146" s="39"/>
      <c r="L146" s="62">
        <f>H146+I146+J146+K146</f>
        <v>585558</v>
      </c>
      <c r="M146" s="39">
        <v>550000</v>
      </c>
      <c r="N146" s="39">
        <v>550000</v>
      </c>
      <c r="O146" s="756">
        <f>-(2216+1459)*12</f>
        <v>-44100</v>
      </c>
      <c r="P146" s="755">
        <f>(4625+222+146)*12</f>
        <v>59916</v>
      </c>
    </row>
    <row r="147" spans="1:17" x14ac:dyDescent="0.25">
      <c r="A147" s="18"/>
      <c r="B147" s="291"/>
      <c r="C147" s="37" t="s">
        <v>215</v>
      </c>
      <c r="D147" s="37">
        <v>611200</v>
      </c>
      <c r="E147" s="81" t="s">
        <v>382</v>
      </c>
      <c r="F147" s="39">
        <v>67212</v>
      </c>
      <c r="G147" s="39">
        <v>91099</v>
      </c>
      <c r="H147" s="48">
        <f>(27*22*9.3)*11+(27*450)+(1060*11)+2424+14850</f>
        <v>101850.20000000001</v>
      </c>
      <c r="I147" s="45"/>
      <c r="J147" s="47"/>
      <c r="K147" s="45"/>
      <c r="L147" s="62">
        <f>H147+I147+J147+K147</f>
        <v>101850.20000000001</v>
      </c>
      <c r="M147" s="39">
        <f>64000+3000+4000</f>
        <v>71000</v>
      </c>
      <c r="N147" s="39">
        <v>71000</v>
      </c>
      <c r="O147" s="756">
        <f>+(2*22*9.3)*11+(2*450)</f>
        <v>5401.2000000000007</v>
      </c>
      <c r="P147" s="756">
        <f>64600+(27*9.3*22*3)+8500</f>
        <v>89672.6</v>
      </c>
    </row>
    <row r="148" spans="1:17" x14ac:dyDescent="0.25">
      <c r="A148" s="18"/>
      <c r="B148" s="291"/>
      <c r="C148" s="37"/>
      <c r="D148" s="37"/>
      <c r="E148" s="49" t="s">
        <v>47</v>
      </c>
      <c r="F148" s="45"/>
      <c r="G148" s="45">
        <v>24175</v>
      </c>
      <c r="H148" s="45">
        <f>(1800*5)+(1170*5)</f>
        <v>14850</v>
      </c>
      <c r="I148" s="45"/>
      <c r="J148" s="47"/>
      <c r="K148" s="45"/>
      <c r="L148" s="62">
        <f>H148+I148+J148+K148</f>
        <v>14850</v>
      </c>
      <c r="M148" s="45"/>
      <c r="N148" s="45"/>
      <c r="O148" s="756">
        <f>9000/5</f>
        <v>1800</v>
      </c>
    </row>
    <row r="149" spans="1:17" x14ac:dyDescent="0.25">
      <c r="A149" s="18"/>
      <c r="B149" s="291"/>
      <c r="C149" s="298" t="s">
        <v>215</v>
      </c>
      <c r="D149" s="649">
        <v>611000</v>
      </c>
      <c r="E149" s="650" t="s">
        <v>13</v>
      </c>
      <c r="F149" s="653">
        <f t="shared" ref="F149:G149" si="42">F146+F147</f>
        <v>586022</v>
      </c>
      <c r="G149" s="653">
        <f t="shared" si="42"/>
        <v>639197</v>
      </c>
      <c r="H149" s="651">
        <f>H146+H147</f>
        <v>687408.2</v>
      </c>
      <c r="I149" s="651">
        <f>I146+I147</f>
        <v>0</v>
      </c>
      <c r="J149" s="651">
        <f>J146+J147</f>
        <v>0</v>
      </c>
      <c r="K149" s="651">
        <f>K146+K147</f>
        <v>0</v>
      </c>
      <c r="L149" s="653">
        <f>L146+L147</f>
        <v>687408.2</v>
      </c>
      <c r="M149" s="653">
        <f t="shared" ref="M149:N149" si="43">M146+M147</f>
        <v>621000</v>
      </c>
      <c r="N149" s="653">
        <f t="shared" si="43"/>
        <v>621000</v>
      </c>
    </row>
    <row r="150" spans="1:17" ht="13.5" customHeight="1" x14ac:dyDescent="0.25">
      <c r="A150" s="18"/>
      <c r="B150" s="291"/>
      <c r="C150" s="29"/>
      <c r="D150" s="29"/>
      <c r="E150" s="30"/>
      <c r="F150" s="90"/>
      <c r="G150" s="90"/>
      <c r="H150" s="120"/>
      <c r="I150" s="120"/>
      <c r="J150" s="332"/>
      <c r="K150" s="120"/>
      <c r="L150" s="90"/>
      <c r="M150" s="90"/>
      <c r="N150" s="90"/>
    </row>
    <row r="151" spans="1:17" x14ac:dyDescent="0.25">
      <c r="A151" s="18"/>
      <c r="B151" s="291"/>
      <c r="C151" s="298" t="s">
        <v>215</v>
      </c>
      <c r="D151" s="649">
        <v>612111</v>
      </c>
      <c r="E151" s="650" t="s">
        <v>14</v>
      </c>
      <c r="F151" s="651">
        <v>54474</v>
      </c>
      <c r="G151" s="651">
        <v>58505</v>
      </c>
      <c r="H151" s="651">
        <f>4800*12+400+((486+222+146)*12)/2</f>
        <v>63124</v>
      </c>
      <c r="I151" s="651"/>
      <c r="J151" s="651"/>
      <c r="K151" s="651"/>
      <c r="L151" s="651">
        <f>H151+I151+J151+K151</f>
        <v>63124</v>
      </c>
      <c r="M151" s="651">
        <f>M146*10.5%</f>
        <v>57750</v>
      </c>
      <c r="N151" s="651">
        <f>N146*10.5%</f>
        <v>57750</v>
      </c>
      <c r="O151" s="756">
        <f>585558*10.5/100</f>
        <v>61483.59</v>
      </c>
      <c r="P151" s="952">
        <f>(486+222+146)*12</f>
        <v>10248</v>
      </c>
      <c r="Q151" s="731">
        <f>10248+62632</f>
        <v>72880</v>
      </c>
    </row>
    <row r="152" spans="1:17" ht="47.25" x14ac:dyDescent="0.25">
      <c r="A152" s="18"/>
      <c r="B152" s="291"/>
      <c r="C152" s="298" t="s">
        <v>215</v>
      </c>
      <c r="D152" s="649">
        <v>612219</v>
      </c>
      <c r="E152" s="652" t="s">
        <v>386</v>
      </c>
      <c r="F152" s="651"/>
      <c r="G152" s="651">
        <v>4000</v>
      </c>
      <c r="H152" s="651">
        <v>5692</v>
      </c>
      <c r="I152" s="651"/>
      <c r="J152" s="651"/>
      <c r="K152" s="651"/>
      <c r="L152" s="651">
        <f>H152+I152+J152+K152</f>
        <v>5692</v>
      </c>
      <c r="M152" s="651">
        <v>4000</v>
      </c>
      <c r="N152" s="651">
        <v>4000</v>
      </c>
      <c r="O152" s="651">
        <f>(233+153)*12</f>
        <v>4632</v>
      </c>
    </row>
    <row r="153" spans="1:17" ht="12.75" customHeight="1" x14ac:dyDescent="0.25">
      <c r="A153" s="18"/>
      <c r="B153" s="291"/>
      <c r="C153" s="29"/>
      <c r="D153" s="29"/>
      <c r="E153" s="30"/>
      <c r="F153" s="90"/>
      <c r="G153" s="90"/>
      <c r="H153" s="120"/>
      <c r="I153" s="120"/>
      <c r="J153" s="368"/>
      <c r="K153" s="120"/>
      <c r="L153" s="90"/>
      <c r="M153" s="90"/>
      <c r="N153" s="90"/>
    </row>
    <row r="154" spans="1:17" x14ac:dyDescent="0.25">
      <c r="A154" s="18"/>
      <c r="B154" s="291"/>
      <c r="C154" s="37" t="s">
        <v>215</v>
      </c>
      <c r="D154" s="37">
        <v>613100</v>
      </c>
      <c r="E154" s="38" t="s">
        <v>93</v>
      </c>
      <c r="F154" s="39">
        <v>761</v>
      </c>
      <c r="G154" s="39">
        <f>1500</f>
        <v>1500</v>
      </c>
      <c r="H154" s="62">
        <v>2000</v>
      </c>
      <c r="I154" s="39"/>
      <c r="J154" s="62"/>
      <c r="K154" s="39"/>
      <c r="L154" s="39">
        <f>H154+I154+J154+K154</f>
        <v>2000</v>
      </c>
      <c r="M154" s="39">
        <v>2000</v>
      </c>
      <c r="N154" s="39">
        <v>2000</v>
      </c>
      <c r="O154" s="804" t="s">
        <v>898</v>
      </c>
    </row>
    <row r="155" spans="1:17" x14ac:dyDescent="0.25">
      <c r="A155" s="18"/>
      <c r="B155" s="291"/>
      <c r="C155" s="37" t="s">
        <v>215</v>
      </c>
      <c r="D155" s="37">
        <v>613300</v>
      </c>
      <c r="E155" s="49" t="s">
        <v>120</v>
      </c>
      <c r="F155" s="114">
        <f t="shared" ref="F155:G155" si="44">F156+F157+F158</f>
        <v>43418</v>
      </c>
      <c r="G155" s="114">
        <f t="shared" si="44"/>
        <v>49200</v>
      </c>
      <c r="H155" s="261">
        <f>H156+H157+H158+H159</f>
        <v>49100</v>
      </c>
      <c r="I155" s="261">
        <f>I156+I157+I158</f>
        <v>0</v>
      </c>
      <c r="J155" s="261">
        <f>J156+J157+J158</f>
        <v>0</v>
      </c>
      <c r="K155" s="261">
        <f>K156+K157+K158</f>
        <v>0</v>
      </c>
      <c r="L155" s="114">
        <f>L156+L157+L158+L159</f>
        <v>49100</v>
      </c>
      <c r="M155" s="114">
        <f>M156+M157+M158+M159</f>
        <v>54100</v>
      </c>
      <c r="N155" s="114">
        <f>N156+N157+N158+N159</f>
        <v>54100</v>
      </c>
    </row>
    <row r="156" spans="1:17" x14ac:dyDescent="0.25">
      <c r="A156" s="18"/>
      <c r="B156" s="291"/>
      <c r="C156" s="37" t="s">
        <v>215</v>
      </c>
      <c r="D156" s="37">
        <v>613311</v>
      </c>
      <c r="E156" s="444" t="s">
        <v>344</v>
      </c>
      <c r="F156" s="62">
        <v>2349</v>
      </c>
      <c r="G156" s="62">
        <f>3600</f>
        <v>3600</v>
      </c>
      <c r="H156" s="47">
        <f>4000-1500</f>
        <v>2500</v>
      </c>
      <c r="I156" s="45"/>
      <c r="J156" s="47"/>
      <c r="K156" s="45"/>
      <c r="L156" s="39">
        <f t="shared" ref="L156:L162" si="45">H156+I156+J156+K156</f>
        <v>2500</v>
      </c>
      <c r="M156" s="62">
        <f>4000</f>
        <v>4000</v>
      </c>
      <c r="N156" s="62">
        <f>4000</f>
        <v>4000</v>
      </c>
      <c r="O156" s="804" t="s">
        <v>897</v>
      </c>
    </row>
    <row r="157" spans="1:17" x14ac:dyDescent="0.25">
      <c r="A157" s="18"/>
      <c r="B157" s="291"/>
      <c r="C157" s="37"/>
      <c r="D157" s="37">
        <v>613313</v>
      </c>
      <c r="E157" s="444" t="s">
        <v>345</v>
      </c>
      <c r="F157" s="45">
        <v>526</v>
      </c>
      <c r="G157" s="45">
        <v>600</v>
      </c>
      <c r="H157" s="47">
        <f>50*12</f>
        <v>600</v>
      </c>
      <c r="I157" s="45"/>
      <c r="J157" s="47"/>
      <c r="K157" s="45"/>
      <c r="L157" s="39">
        <f t="shared" si="45"/>
        <v>600</v>
      </c>
      <c r="M157" s="45">
        <v>600</v>
      </c>
      <c r="N157" s="45">
        <v>600</v>
      </c>
    </row>
    <row r="158" spans="1:17" x14ac:dyDescent="0.25">
      <c r="A158" s="18"/>
      <c r="B158" s="291"/>
      <c r="C158" s="37" t="s">
        <v>215</v>
      </c>
      <c r="D158" s="37">
        <v>613314</v>
      </c>
      <c r="E158" s="444" t="s">
        <v>346</v>
      </c>
      <c r="F158" s="39">
        <v>40543</v>
      </c>
      <c r="G158" s="39">
        <f>45000</f>
        <v>45000</v>
      </c>
      <c r="H158" s="45">
        <f>48000-3000</f>
        <v>45000</v>
      </c>
      <c r="I158" s="45"/>
      <c r="J158" s="47"/>
      <c r="K158" s="45"/>
      <c r="L158" s="39">
        <f t="shared" si="45"/>
        <v>45000</v>
      </c>
      <c r="M158" s="39">
        <v>48000</v>
      </c>
      <c r="N158" s="39">
        <v>48000</v>
      </c>
      <c r="O158" s="804" t="s">
        <v>899</v>
      </c>
    </row>
    <row r="159" spans="1:17" x14ac:dyDescent="0.25">
      <c r="A159" s="869"/>
      <c r="B159" s="291"/>
      <c r="C159" s="874" t="s">
        <v>215</v>
      </c>
      <c r="D159" s="874">
        <v>613321</v>
      </c>
      <c r="E159" s="915" t="s">
        <v>1101</v>
      </c>
      <c r="F159" s="876"/>
      <c r="G159" s="876"/>
      <c r="H159" s="878">
        <f>50*12+400</f>
        <v>1000</v>
      </c>
      <c r="I159" s="878"/>
      <c r="J159" s="879"/>
      <c r="K159" s="878"/>
      <c r="L159" s="876">
        <f t="shared" si="45"/>
        <v>1000</v>
      </c>
      <c r="M159" s="876">
        <v>1500</v>
      </c>
      <c r="N159" s="876">
        <v>1500</v>
      </c>
      <c r="O159" s="804">
        <f>35*12</f>
        <v>420</v>
      </c>
      <c r="P159" s="976"/>
    </row>
    <row r="160" spans="1:17" ht="30.75" customHeight="1" x14ac:dyDescent="0.25">
      <c r="A160" s="18"/>
      <c r="B160" s="291"/>
      <c r="C160" s="37" t="s">
        <v>215</v>
      </c>
      <c r="D160" s="37">
        <v>613400</v>
      </c>
      <c r="E160" s="245" t="s">
        <v>374</v>
      </c>
      <c r="F160" s="39">
        <v>18124</v>
      </c>
      <c r="G160" s="39">
        <v>16000</v>
      </c>
      <c r="H160" s="47">
        <f>30000-14000</f>
        <v>16000</v>
      </c>
      <c r="I160" s="45"/>
      <c r="J160" s="47"/>
      <c r="K160" s="45"/>
      <c r="L160" s="39">
        <f t="shared" si="45"/>
        <v>16000</v>
      </c>
      <c r="M160" s="39">
        <v>25000</v>
      </c>
      <c r="N160" s="39">
        <v>25000</v>
      </c>
    </row>
    <row r="161" spans="1:18" x14ac:dyDescent="0.25">
      <c r="A161" s="18"/>
      <c r="B161" s="291"/>
      <c r="C161" s="37"/>
      <c r="D161" s="37">
        <v>613520</v>
      </c>
      <c r="E161" s="38" t="s">
        <v>307</v>
      </c>
      <c r="F161" s="39"/>
      <c r="G161" s="39"/>
      <c r="H161" s="45">
        <v>5000</v>
      </c>
      <c r="I161" s="45"/>
      <c r="J161" s="47"/>
      <c r="K161" s="45"/>
      <c r="L161" s="876">
        <f t="shared" si="45"/>
        <v>5000</v>
      </c>
      <c r="M161" s="39">
        <v>5000</v>
      </c>
      <c r="N161" s="39">
        <v>5000</v>
      </c>
    </row>
    <row r="162" spans="1:18" x14ac:dyDescent="0.25">
      <c r="A162" s="18"/>
      <c r="B162" s="291"/>
      <c r="C162" s="37" t="s">
        <v>215</v>
      </c>
      <c r="D162" s="37">
        <v>613722</v>
      </c>
      <c r="E162" s="726" t="s">
        <v>878</v>
      </c>
      <c r="F162" s="39">
        <v>5616</v>
      </c>
      <c r="G162" s="39">
        <f>6500+1000</f>
        <v>7500</v>
      </c>
      <c r="H162" s="45">
        <f>6500+1000</f>
        <v>7500</v>
      </c>
      <c r="I162" s="45"/>
      <c r="J162" s="47"/>
      <c r="K162" s="45"/>
      <c r="L162" s="39">
        <f t="shared" si="45"/>
        <v>7500</v>
      </c>
      <c r="M162" s="39">
        <f>6500+1000</f>
        <v>7500</v>
      </c>
      <c r="N162" s="39">
        <f>6500+1000</f>
        <v>7500</v>
      </c>
      <c r="O162" s="756" t="s">
        <v>879</v>
      </c>
    </row>
    <row r="163" spans="1:18" x14ac:dyDescent="0.25">
      <c r="A163" s="18"/>
      <c r="B163" s="291"/>
      <c r="C163" s="37" t="s">
        <v>215</v>
      </c>
      <c r="D163" s="37">
        <v>613900</v>
      </c>
      <c r="E163" s="38" t="s">
        <v>293</v>
      </c>
      <c r="F163" s="83">
        <f t="shared" ref="F163:N163" si="46">F164+F165+F166+F167+F168+F169</f>
        <v>7867</v>
      </c>
      <c r="G163" s="83">
        <f t="shared" si="46"/>
        <v>19500</v>
      </c>
      <c r="H163" s="83">
        <f t="shared" si="46"/>
        <v>20000</v>
      </c>
      <c r="I163" s="83">
        <f t="shared" si="46"/>
        <v>0</v>
      </c>
      <c r="J163" s="83">
        <f t="shared" si="46"/>
        <v>0</v>
      </c>
      <c r="K163" s="83">
        <f t="shared" si="46"/>
        <v>0</v>
      </c>
      <c r="L163" s="83">
        <f t="shared" si="46"/>
        <v>20000</v>
      </c>
      <c r="M163" s="83">
        <f t="shared" si="46"/>
        <v>19500</v>
      </c>
      <c r="N163" s="83">
        <f t="shared" si="46"/>
        <v>19500</v>
      </c>
      <c r="O163" s="756" t="e">
        <f>L163+#REF!</f>
        <v>#REF!</v>
      </c>
    </row>
    <row r="164" spans="1:18" x14ac:dyDescent="0.25">
      <c r="A164" s="18"/>
      <c r="B164" s="291"/>
      <c r="C164" s="37" t="s">
        <v>215</v>
      </c>
      <c r="D164" s="37">
        <v>613914</v>
      </c>
      <c r="E164" s="444" t="s">
        <v>522</v>
      </c>
      <c r="F164" s="93"/>
      <c r="G164" s="93">
        <v>1000</v>
      </c>
      <c r="H164" s="626">
        <v>1000</v>
      </c>
      <c r="I164" s="628"/>
      <c r="J164" s="629"/>
      <c r="K164" s="628"/>
      <c r="L164" s="39">
        <f t="shared" ref="L164:L169" si="47">H164+I164+J164+K164</f>
        <v>1000</v>
      </c>
      <c r="M164" s="93">
        <v>1000</v>
      </c>
      <c r="N164" s="93">
        <v>1000</v>
      </c>
    </row>
    <row r="165" spans="1:18" ht="30.75" x14ac:dyDescent="0.25">
      <c r="A165" s="18"/>
      <c r="B165" s="291"/>
      <c r="C165" s="37" t="s">
        <v>215</v>
      </c>
      <c r="D165" s="37">
        <v>613920</v>
      </c>
      <c r="E165" s="86" t="s">
        <v>308</v>
      </c>
      <c r="F165" s="62"/>
      <c r="G165" s="62">
        <f>(1500+500)</f>
        <v>2000</v>
      </c>
      <c r="H165" s="47">
        <f>1500+500</f>
        <v>2000</v>
      </c>
      <c r="I165" s="45"/>
      <c r="J165" s="47"/>
      <c r="K165" s="45"/>
      <c r="L165" s="39">
        <f t="shared" si="47"/>
        <v>2000</v>
      </c>
      <c r="M165" s="62">
        <f>1500+500</f>
        <v>2000</v>
      </c>
      <c r="N165" s="62">
        <f>1500+500</f>
        <v>2000</v>
      </c>
      <c r="O165" s="804" t="s">
        <v>898</v>
      </c>
    </row>
    <row r="166" spans="1:18" ht="30.75" x14ac:dyDescent="0.25">
      <c r="A166" s="18"/>
      <c r="B166" s="291"/>
      <c r="C166" s="37" t="s">
        <v>215</v>
      </c>
      <c r="D166" s="37">
        <v>613974</v>
      </c>
      <c r="E166" s="116" t="s">
        <v>406</v>
      </c>
      <c r="F166" s="39">
        <v>6938</v>
      </c>
      <c r="G166" s="39">
        <f>6000+2000</f>
        <v>8000</v>
      </c>
      <c r="H166" s="45">
        <f>6000+2000</f>
        <v>8000</v>
      </c>
      <c r="I166" s="45"/>
      <c r="J166" s="47"/>
      <c r="K166" s="45"/>
      <c r="L166" s="39">
        <f t="shared" si="47"/>
        <v>8000</v>
      </c>
      <c r="M166" s="39">
        <f>6000+2000</f>
        <v>8000</v>
      </c>
      <c r="N166" s="39">
        <v>8000</v>
      </c>
    </row>
    <row r="167" spans="1:18" ht="45.75" x14ac:dyDescent="0.25">
      <c r="A167" s="18"/>
      <c r="B167" s="291"/>
      <c r="C167" s="37" t="s">
        <v>221</v>
      </c>
      <c r="D167" s="100">
        <v>613988</v>
      </c>
      <c r="E167" s="116" t="s">
        <v>347</v>
      </c>
      <c r="F167" s="47">
        <v>929</v>
      </c>
      <c r="G167" s="47">
        <v>500</v>
      </c>
      <c r="H167" s="47">
        <v>1000</v>
      </c>
      <c r="I167" s="47"/>
      <c r="J167" s="47"/>
      <c r="K167" s="47"/>
      <c r="L167" s="39">
        <f t="shared" si="47"/>
        <v>1000</v>
      </c>
      <c r="M167" s="47">
        <v>500</v>
      </c>
      <c r="N167" s="62">
        <v>500</v>
      </c>
    </row>
    <row r="168" spans="1:18" x14ac:dyDescent="0.25">
      <c r="A168" s="18"/>
      <c r="B168" s="291"/>
      <c r="C168" s="37" t="s">
        <v>215</v>
      </c>
      <c r="D168" s="37">
        <v>613991</v>
      </c>
      <c r="E168" s="111" t="s">
        <v>1086</v>
      </c>
      <c r="F168" s="61"/>
      <c r="G168" s="61">
        <v>8000</v>
      </c>
      <c r="H168" s="300">
        <f>6000+2000</f>
        <v>8000</v>
      </c>
      <c r="I168" s="48"/>
      <c r="J168" s="300"/>
      <c r="K168" s="48"/>
      <c r="L168" s="449">
        <f t="shared" si="47"/>
        <v>8000</v>
      </c>
      <c r="M168" s="61">
        <v>8000</v>
      </c>
      <c r="N168" s="61">
        <v>8000</v>
      </c>
    </row>
    <row r="169" spans="1:18" ht="6.75" customHeight="1" x14ac:dyDescent="0.25">
      <c r="A169" s="18"/>
      <c r="B169" s="291"/>
      <c r="C169" s="37" t="s">
        <v>285</v>
      </c>
      <c r="D169" s="100">
        <v>613991</v>
      </c>
      <c r="E169" s="662" t="s">
        <v>1087</v>
      </c>
      <c r="F169" s="117">
        <f>5000-5000</f>
        <v>0</v>
      </c>
      <c r="G169" s="972">
        <f>5000-5000</f>
        <v>0</v>
      </c>
      <c r="H169" s="971"/>
      <c r="I169" s="48"/>
      <c r="J169" s="300"/>
      <c r="K169" s="48"/>
      <c r="L169" s="970">
        <f t="shared" si="47"/>
        <v>0</v>
      </c>
      <c r="M169" s="972">
        <f>5000-5000</f>
        <v>0</v>
      </c>
      <c r="N169" s="972">
        <f>5000-5000</f>
        <v>0</v>
      </c>
    </row>
    <row r="170" spans="1:18" x14ac:dyDescent="0.25">
      <c r="A170" s="18"/>
      <c r="B170" s="291"/>
      <c r="C170" s="287" t="s">
        <v>215</v>
      </c>
      <c r="D170" s="27">
        <v>613000</v>
      </c>
      <c r="E170" s="55" t="s">
        <v>15</v>
      </c>
      <c r="F170" s="64">
        <f>F154+F155+F160+F162+F163</f>
        <v>75786</v>
      </c>
      <c r="G170" s="64">
        <f>G154+G155+G160+G162+G163</f>
        <v>93700</v>
      </c>
      <c r="H170" s="94">
        <f t="shared" ref="H170:N170" si="48">H154+H155+H160+H161+H162+H163</f>
        <v>99600</v>
      </c>
      <c r="I170" s="896">
        <f t="shared" si="48"/>
        <v>0</v>
      </c>
      <c r="J170" s="896">
        <f t="shared" si="48"/>
        <v>0</v>
      </c>
      <c r="K170" s="896">
        <f t="shared" si="48"/>
        <v>0</v>
      </c>
      <c r="L170" s="896">
        <f t="shared" si="48"/>
        <v>99600</v>
      </c>
      <c r="M170" s="896">
        <f t="shared" si="48"/>
        <v>113100</v>
      </c>
      <c r="N170" s="896">
        <f t="shared" si="48"/>
        <v>113100</v>
      </c>
      <c r="O170" s="756" t="e">
        <f>L170+#REF!</f>
        <v>#REF!</v>
      </c>
    </row>
    <row r="171" spans="1:18" x14ac:dyDescent="0.25">
      <c r="A171" s="18"/>
      <c r="B171" s="291"/>
      <c r="C171" s="106"/>
      <c r="D171" s="106"/>
      <c r="E171" s="118"/>
      <c r="F171" s="83"/>
      <c r="G171" s="83"/>
      <c r="H171" s="158"/>
      <c r="I171" s="158"/>
      <c r="J171" s="579"/>
      <c r="K171" s="158"/>
      <c r="L171" s="83"/>
      <c r="M171" s="83"/>
      <c r="N171" s="83"/>
    </row>
    <row r="172" spans="1:18" ht="31.5" x14ac:dyDescent="0.25">
      <c r="A172" s="18"/>
      <c r="B172" s="22"/>
      <c r="C172" s="100"/>
      <c r="D172" s="100"/>
      <c r="E172" s="447" t="s">
        <v>893</v>
      </c>
      <c r="F172" s="62">
        <f t="shared" ref="F172:N172" si="49">F173+F183+F203</f>
        <v>863364</v>
      </c>
      <c r="G172" s="62">
        <f t="shared" si="49"/>
        <v>728600</v>
      </c>
      <c r="H172" s="62">
        <f t="shared" si="49"/>
        <v>875600</v>
      </c>
      <c r="I172" s="62">
        <f t="shared" si="49"/>
        <v>0</v>
      </c>
      <c r="J172" s="62">
        <f t="shared" si="49"/>
        <v>0</v>
      </c>
      <c r="K172" s="62">
        <f t="shared" si="49"/>
        <v>0</v>
      </c>
      <c r="L172" s="62">
        <f t="shared" si="49"/>
        <v>875600</v>
      </c>
      <c r="M172" s="62">
        <f t="shared" si="49"/>
        <v>891600</v>
      </c>
      <c r="N172" s="62">
        <f t="shared" si="49"/>
        <v>879600</v>
      </c>
      <c r="P172" s="760">
        <f>L173+L183+L203</f>
        <v>875600</v>
      </c>
      <c r="Q172" s="814" t="e">
        <f>#REF!+#REF!+#REF!</f>
        <v>#REF!</v>
      </c>
      <c r="R172" s="760" t="e">
        <f>#REF!+#REF!+#REF!</f>
        <v>#REF!</v>
      </c>
    </row>
    <row r="173" spans="1:18" ht="20.25" customHeight="1" x14ac:dyDescent="0.25">
      <c r="A173" s="18"/>
      <c r="B173" s="22"/>
      <c r="C173" s="37" t="s">
        <v>48</v>
      </c>
      <c r="D173" s="37">
        <v>614122</v>
      </c>
      <c r="E173" s="441" t="s">
        <v>348</v>
      </c>
      <c r="F173" s="39">
        <f>F174+F177+F178+F181+F182</f>
        <v>571426</v>
      </c>
      <c r="G173" s="39">
        <f>G174+G177+G178+G181+G182</f>
        <v>519600</v>
      </c>
      <c r="H173" s="39">
        <f>H174+H176+H177+H178+H181+H182</f>
        <v>551600</v>
      </c>
      <c r="I173" s="39">
        <f t="shared" ref="I173:K173" si="50">I174+I177+I178+I181+I182</f>
        <v>0</v>
      </c>
      <c r="J173" s="39">
        <f t="shared" si="50"/>
        <v>0</v>
      </c>
      <c r="K173" s="39">
        <f t="shared" si="50"/>
        <v>0</v>
      </c>
      <c r="L173" s="39">
        <f>L174+L176+L177+L178+L181+L182</f>
        <v>551600</v>
      </c>
      <c r="M173" s="39">
        <f>M174+M176+M177+M178+M181+M182</f>
        <v>551600</v>
      </c>
      <c r="N173" s="39">
        <f>N174+N176+N177+N178+N181+N182</f>
        <v>539600</v>
      </c>
    </row>
    <row r="174" spans="1:18" ht="20.25" customHeight="1" x14ac:dyDescent="0.25">
      <c r="A174" s="18"/>
      <c r="B174" s="22"/>
      <c r="C174" s="37" t="s">
        <v>48</v>
      </c>
      <c r="D174" s="37">
        <v>614122</v>
      </c>
      <c r="E174" s="441" t="s">
        <v>349</v>
      </c>
      <c r="F174" s="39">
        <v>309598</v>
      </c>
      <c r="G174" s="39">
        <f>245000+14600-38000</f>
        <v>221600</v>
      </c>
      <c r="H174" s="47">
        <f>259600-(259600-221600)</f>
        <v>221600</v>
      </c>
      <c r="I174" s="45"/>
      <c r="J174" s="47"/>
      <c r="K174" s="45"/>
      <c r="L174" s="62">
        <f>H174+I174+J174+K174</f>
        <v>221600</v>
      </c>
      <c r="M174" s="39">
        <f>245000+14600-38000</f>
        <v>221600</v>
      </c>
      <c r="N174" s="39">
        <f>245000+14600-38000</f>
        <v>221600</v>
      </c>
      <c r="Q174" s="814" t="e">
        <f>P172+Q172</f>
        <v>#REF!</v>
      </c>
    </row>
    <row r="175" spans="1:18" ht="30.75" x14ac:dyDescent="0.25">
      <c r="A175" s="18"/>
      <c r="B175" s="22"/>
      <c r="C175" s="37"/>
      <c r="D175" s="37"/>
      <c r="E175" s="101" t="s">
        <v>467</v>
      </c>
      <c r="F175" s="45"/>
      <c r="G175" s="45">
        <v>15000</v>
      </c>
      <c r="H175" s="47">
        <v>15000</v>
      </c>
      <c r="I175" s="45"/>
      <c r="J175" s="47"/>
      <c r="K175" s="45"/>
      <c r="L175" s="62">
        <f>H175+I175+J175+K175</f>
        <v>15000</v>
      </c>
      <c r="M175" s="45">
        <v>15000</v>
      </c>
      <c r="N175" s="45">
        <v>15000</v>
      </c>
      <c r="P175" s="760"/>
    </row>
    <row r="176" spans="1:18" x14ac:dyDescent="0.25">
      <c r="A176" s="869"/>
      <c r="B176" s="22"/>
      <c r="C176" s="555"/>
      <c r="D176" s="555"/>
      <c r="E176" s="925" t="s">
        <v>984</v>
      </c>
      <c r="F176" s="911"/>
      <c r="G176" s="911"/>
      <c r="H176" s="911">
        <v>10000</v>
      </c>
      <c r="I176" s="911"/>
      <c r="J176" s="911"/>
      <c r="K176" s="911"/>
      <c r="L176" s="918">
        <f>H176+I176+J176+K176</f>
        <v>10000</v>
      </c>
      <c r="M176" s="911">
        <v>10000</v>
      </c>
      <c r="N176" s="911">
        <v>10000</v>
      </c>
      <c r="P176" s="760"/>
    </row>
    <row r="177" spans="1:16" ht="40.5" customHeight="1" x14ac:dyDescent="0.25">
      <c r="A177" s="18"/>
      <c r="B177" s="22"/>
      <c r="C177" s="37" t="s">
        <v>48</v>
      </c>
      <c r="D177" s="273">
        <v>614122</v>
      </c>
      <c r="E177" s="817" t="s">
        <v>1092</v>
      </c>
      <c r="F177" s="45">
        <v>21632</v>
      </c>
      <c r="G177" s="45">
        <f>27000+3000</f>
        <v>30000</v>
      </c>
      <c r="H177" s="47">
        <v>20000</v>
      </c>
      <c r="I177" s="45"/>
      <c r="J177" s="47"/>
      <c r="K177" s="45"/>
      <c r="L177" s="39">
        <f>H177+I177+J177+K177</f>
        <v>20000</v>
      </c>
      <c r="M177" s="45">
        <v>20000</v>
      </c>
      <c r="N177" s="45">
        <v>20000</v>
      </c>
    </row>
    <row r="178" spans="1:16" ht="48.6" customHeight="1" x14ac:dyDescent="0.25">
      <c r="A178" s="18"/>
      <c r="B178" s="22"/>
      <c r="C178" s="37"/>
      <c r="D178" s="273">
        <v>614122</v>
      </c>
      <c r="E178" s="632" t="s">
        <v>633</v>
      </c>
      <c r="F178" s="45">
        <f t="shared" ref="F178:K178" si="51">F179+F180</f>
        <v>160000</v>
      </c>
      <c r="G178" s="45">
        <f t="shared" si="51"/>
        <v>198000</v>
      </c>
      <c r="H178" s="45">
        <f t="shared" si="51"/>
        <v>210000</v>
      </c>
      <c r="I178" s="45">
        <f t="shared" si="51"/>
        <v>0</v>
      </c>
      <c r="J178" s="47">
        <f t="shared" si="51"/>
        <v>0</v>
      </c>
      <c r="K178" s="45">
        <f t="shared" si="51"/>
        <v>0</v>
      </c>
      <c r="L178" s="45">
        <f>SUM(H178:K178)</f>
        <v>210000</v>
      </c>
      <c r="M178" s="45">
        <f>SUM(I178:L178)</f>
        <v>210000</v>
      </c>
      <c r="N178" s="45">
        <v>198000</v>
      </c>
      <c r="P178" s="760" t="e">
        <f>M178-#REF!</f>
        <v>#REF!</v>
      </c>
    </row>
    <row r="179" spans="1:16" ht="16.5" customHeight="1" x14ac:dyDescent="0.25">
      <c r="A179" s="18"/>
      <c r="B179" s="22"/>
      <c r="C179" s="37" t="s">
        <v>48</v>
      </c>
      <c r="D179" s="273">
        <v>614122</v>
      </c>
      <c r="E179" s="692" t="s">
        <v>350</v>
      </c>
      <c r="F179" s="47">
        <v>160000</v>
      </c>
      <c r="G179" s="47">
        <v>160000</v>
      </c>
      <c r="H179" s="47">
        <v>160000</v>
      </c>
      <c r="I179" s="45"/>
      <c r="J179" s="47"/>
      <c r="K179" s="45"/>
      <c r="L179" s="62">
        <f>H179+I179+J179+K179</f>
        <v>160000</v>
      </c>
      <c r="M179" s="47">
        <v>16000</v>
      </c>
      <c r="N179" s="47">
        <v>160000</v>
      </c>
    </row>
    <row r="180" spans="1:16" ht="17.25" customHeight="1" x14ac:dyDescent="0.25">
      <c r="A180" s="18"/>
      <c r="B180" s="22"/>
      <c r="C180" s="119" t="s">
        <v>48</v>
      </c>
      <c r="D180" s="273">
        <v>614122</v>
      </c>
      <c r="E180" s="454" t="s">
        <v>634</v>
      </c>
      <c r="F180" s="45"/>
      <c r="G180" s="45">
        <v>38000</v>
      </c>
      <c r="H180" s="911">
        <f>38000+12000</f>
        <v>50000</v>
      </c>
      <c r="I180" s="45"/>
      <c r="J180" s="47"/>
      <c r="K180" s="45"/>
      <c r="L180" s="918">
        <f>H180+I180+J180+K180</f>
        <v>50000</v>
      </c>
      <c r="M180" s="911">
        <f>38000+12000</f>
        <v>50000</v>
      </c>
      <c r="N180" s="911">
        <f>38000+12000</f>
        <v>50000</v>
      </c>
    </row>
    <row r="181" spans="1:16" ht="16.5" customHeight="1" x14ac:dyDescent="0.25">
      <c r="A181" s="18"/>
      <c r="B181" s="22"/>
      <c r="C181" s="37" t="s">
        <v>48</v>
      </c>
      <c r="D181" s="273">
        <v>614122</v>
      </c>
      <c r="E181" s="455" t="s">
        <v>352</v>
      </c>
      <c r="F181" s="45">
        <v>48800</v>
      </c>
      <c r="G181" s="45">
        <f>30000+20000</f>
        <v>50000</v>
      </c>
      <c r="H181" s="47">
        <f>30000+20000</f>
        <v>50000</v>
      </c>
      <c r="I181" s="45"/>
      <c r="J181" s="47"/>
      <c r="K181" s="45"/>
      <c r="L181" s="39">
        <f>H181+I181+J181+K181</f>
        <v>50000</v>
      </c>
      <c r="M181" s="45">
        <f>30000+20000</f>
        <v>50000</v>
      </c>
      <c r="N181" s="45">
        <f>30000+20000</f>
        <v>50000</v>
      </c>
      <c r="O181" s="761" t="s">
        <v>887</v>
      </c>
    </row>
    <row r="182" spans="1:16" ht="16.5" customHeight="1" x14ac:dyDescent="0.25">
      <c r="A182" s="18"/>
      <c r="B182" s="22"/>
      <c r="C182" s="100" t="s">
        <v>48</v>
      </c>
      <c r="D182" s="273">
        <v>614122</v>
      </c>
      <c r="E182" s="455" t="s">
        <v>353</v>
      </c>
      <c r="F182" s="47">
        <v>31396</v>
      </c>
      <c r="G182" s="47">
        <v>20000</v>
      </c>
      <c r="H182" s="911">
        <f>20000+20000</f>
        <v>40000</v>
      </c>
      <c r="I182" s="47"/>
      <c r="J182" s="47"/>
      <c r="K182" s="47"/>
      <c r="L182" s="918">
        <f>H182+I182+J182+K182</f>
        <v>40000</v>
      </c>
      <c r="M182" s="911">
        <f>20000+20000</f>
        <v>40000</v>
      </c>
      <c r="N182" s="911">
        <f>20000+20000</f>
        <v>40000</v>
      </c>
    </row>
    <row r="183" spans="1:16" x14ac:dyDescent="0.25">
      <c r="A183" s="18"/>
      <c r="B183" s="22"/>
      <c r="C183" s="37" t="s">
        <v>49</v>
      </c>
      <c r="D183" s="37">
        <v>614121</v>
      </c>
      <c r="E183" s="447" t="s">
        <v>354</v>
      </c>
      <c r="F183" s="39">
        <f t="shared" ref="F183:G183" si="52">F184+F185+F188</f>
        <v>215355</v>
      </c>
      <c r="G183" s="39">
        <f t="shared" si="52"/>
        <v>110000</v>
      </c>
      <c r="H183" s="39">
        <f>H184+H185+H187+H188+H189</f>
        <v>190000</v>
      </c>
      <c r="I183" s="39">
        <f>I184+I185+I188</f>
        <v>0</v>
      </c>
      <c r="J183" s="62">
        <f>J184+J185+J188</f>
        <v>0</v>
      </c>
      <c r="K183" s="39">
        <f>K184+K185+K188</f>
        <v>0</v>
      </c>
      <c r="L183" s="39">
        <f>L184+L185+L187+L188+L189</f>
        <v>190000</v>
      </c>
      <c r="M183" s="876">
        <f>M184+M185+M187+M188+M189</f>
        <v>210000</v>
      </c>
      <c r="N183" s="876">
        <f>N184+N185+N187+N188+N189</f>
        <v>210000</v>
      </c>
    </row>
    <row r="184" spans="1:16" ht="16.5" customHeight="1" x14ac:dyDescent="0.25">
      <c r="A184" s="18"/>
      <c r="B184" s="22"/>
      <c r="C184" s="100"/>
      <c r="D184" s="100">
        <v>614121</v>
      </c>
      <c r="E184" s="441" t="s">
        <v>985</v>
      </c>
      <c r="F184" s="39">
        <v>32399</v>
      </c>
      <c r="G184" s="39">
        <v>25000</v>
      </c>
      <c r="H184" s="911">
        <f>25000+15000</f>
        <v>40000</v>
      </c>
      <c r="I184" s="47"/>
      <c r="J184" s="47"/>
      <c r="K184" s="47"/>
      <c r="L184" s="918">
        <f t="shared" ref="L184:L209" si="53">H184+I184+J184+K184</f>
        <v>40000</v>
      </c>
      <c r="M184" s="918">
        <f>25000+15000</f>
        <v>40000</v>
      </c>
      <c r="N184" s="918">
        <f>25000+15000</f>
        <v>40000</v>
      </c>
    </row>
    <row r="185" spans="1:16" ht="42.75" customHeight="1" x14ac:dyDescent="0.25">
      <c r="A185" s="18"/>
      <c r="B185" s="22"/>
      <c r="C185" s="37" t="s">
        <v>49</v>
      </c>
      <c r="D185" s="37">
        <v>614121</v>
      </c>
      <c r="E185" s="524" t="s">
        <v>986</v>
      </c>
      <c r="F185" s="62">
        <v>106012</v>
      </c>
      <c r="G185" s="62">
        <v>35000</v>
      </c>
      <c r="H185" s="313">
        <f>35000+25000-10000</f>
        <v>50000</v>
      </c>
      <c r="I185" s="47"/>
      <c r="J185" s="47"/>
      <c r="K185" s="47"/>
      <c r="L185" s="918">
        <f t="shared" si="53"/>
        <v>50000</v>
      </c>
      <c r="M185" s="918">
        <f>40000+20000</f>
        <v>60000</v>
      </c>
      <c r="N185" s="918">
        <f>40000+20000</f>
        <v>60000</v>
      </c>
    </row>
    <row r="186" spans="1:16" ht="26.25" customHeight="1" x14ac:dyDescent="0.25">
      <c r="A186" s="18"/>
      <c r="B186" s="22"/>
      <c r="C186" s="37"/>
      <c r="D186" s="37"/>
      <c r="E186" s="926" t="s">
        <v>466</v>
      </c>
      <c r="F186" s="62">
        <v>22510</v>
      </c>
      <c r="G186" s="62">
        <f>50000-50000</f>
        <v>0</v>
      </c>
      <c r="H186" s="47">
        <f>55000-55000</f>
        <v>0</v>
      </c>
      <c r="I186" s="47"/>
      <c r="J186" s="47"/>
      <c r="K186" s="47"/>
      <c r="L186" s="62">
        <f t="shared" si="53"/>
        <v>0</v>
      </c>
      <c r="M186" s="62">
        <f>50000-50000</f>
        <v>0</v>
      </c>
      <c r="N186" s="62">
        <f>50000-50000</f>
        <v>0</v>
      </c>
    </row>
    <row r="187" spans="1:16" ht="30.75" x14ac:dyDescent="0.25">
      <c r="A187" s="869"/>
      <c r="B187" s="22"/>
      <c r="C187" s="874" t="s">
        <v>49</v>
      </c>
      <c r="D187" s="555"/>
      <c r="E187" s="925" t="s">
        <v>987</v>
      </c>
      <c r="F187" s="918"/>
      <c r="G187" s="918"/>
      <c r="H187" s="911">
        <f>15000-5000</f>
        <v>10000</v>
      </c>
      <c r="I187" s="911"/>
      <c r="J187" s="911"/>
      <c r="K187" s="911"/>
      <c r="L187" s="918">
        <f t="shared" si="53"/>
        <v>10000</v>
      </c>
      <c r="M187" s="918">
        <v>15000</v>
      </c>
      <c r="N187" s="918">
        <v>15000</v>
      </c>
      <c r="O187" s="756" t="s">
        <v>1094</v>
      </c>
      <c r="P187" s="924"/>
    </row>
    <row r="188" spans="1:16" ht="92.25" customHeight="1" x14ac:dyDescent="0.25">
      <c r="A188" s="18"/>
      <c r="B188" s="22"/>
      <c r="C188" s="37" t="s">
        <v>49</v>
      </c>
      <c r="D188" s="37">
        <v>614121</v>
      </c>
      <c r="E188" s="101" t="s">
        <v>490</v>
      </c>
      <c r="F188" s="39">
        <v>76944</v>
      </c>
      <c r="G188" s="39">
        <v>50000</v>
      </c>
      <c r="H188" s="313">
        <f>65000-15000</f>
        <v>50000</v>
      </c>
      <c r="I188" s="45"/>
      <c r="J188" s="47"/>
      <c r="K188" s="47"/>
      <c r="L188" s="39">
        <f t="shared" si="53"/>
        <v>50000</v>
      </c>
      <c r="M188" s="39">
        <v>65000</v>
      </c>
      <c r="N188" s="39">
        <v>65000</v>
      </c>
    </row>
    <row r="189" spans="1:16" x14ac:dyDescent="0.25">
      <c r="A189" s="869"/>
      <c r="B189" s="22"/>
      <c r="C189" s="874" t="s">
        <v>49</v>
      </c>
      <c r="D189" s="874">
        <v>614121</v>
      </c>
      <c r="E189" s="899" t="s">
        <v>988</v>
      </c>
      <c r="F189" s="876"/>
      <c r="G189" s="876"/>
      <c r="H189" s="911">
        <f>50000-10000</f>
        <v>40000</v>
      </c>
      <c r="I189" s="878"/>
      <c r="J189" s="879"/>
      <c r="K189" s="879"/>
      <c r="L189" s="918">
        <f t="shared" si="53"/>
        <v>40000</v>
      </c>
      <c r="M189" s="918">
        <f>50000-20000</f>
        <v>30000</v>
      </c>
      <c r="N189" s="918">
        <f>50000-20000</f>
        <v>30000</v>
      </c>
      <c r="O189" s="756" t="s">
        <v>1094</v>
      </c>
      <c r="P189" s="924"/>
    </row>
    <row r="190" spans="1:16" ht="33.75" customHeight="1" x14ac:dyDescent="0.25">
      <c r="A190" s="869"/>
      <c r="B190" s="22"/>
      <c r="C190" s="936" t="s">
        <v>223</v>
      </c>
      <c r="D190" s="936">
        <v>614324</v>
      </c>
      <c r="E190" s="973" t="s">
        <v>1093</v>
      </c>
      <c r="F190" s="921"/>
      <c r="G190" s="921"/>
      <c r="H190" s="922">
        <v>5000</v>
      </c>
      <c r="I190" s="922"/>
      <c r="J190" s="922"/>
      <c r="K190" s="922"/>
      <c r="L190" s="921">
        <f>H190+I190+J190+K190</f>
        <v>5000</v>
      </c>
      <c r="M190" s="921">
        <v>5000</v>
      </c>
      <c r="N190" s="921">
        <v>5000</v>
      </c>
      <c r="O190" s="756" t="s">
        <v>1094</v>
      </c>
      <c r="P190" s="967"/>
    </row>
    <row r="191" spans="1:16" ht="30.75" x14ac:dyDescent="0.25">
      <c r="A191" s="18"/>
      <c r="B191" s="266"/>
      <c r="C191" s="37" t="s">
        <v>221</v>
      </c>
      <c r="D191" s="37">
        <v>614234</v>
      </c>
      <c r="E191" s="44" t="s">
        <v>326</v>
      </c>
      <c r="F191" s="62">
        <v>79650</v>
      </c>
      <c r="G191" s="62">
        <v>80000</v>
      </c>
      <c r="H191" s="911">
        <f>80000+10000-10000</f>
        <v>80000</v>
      </c>
      <c r="I191" s="45"/>
      <c r="J191" s="47"/>
      <c r="K191" s="45"/>
      <c r="L191" s="62">
        <f t="shared" si="53"/>
        <v>80000</v>
      </c>
      <c r="M191" s="62">
        <f>80000+10000-10000</f>
        <v>80000</v>
      </c>
      <c r="N191" s="885">
        <f>80000+10000-10000</f>
        <v>80000</v>
      </c>
    </row>
    <row r="192" spans="1:16" ht="30.75" x14ac:dyDescent="0.25">
      <c r="A192" s="18"/>
      <c r="B192" s="266"/>
      <c r="C192" s="37" t="s">
        <v>221</v>
      </c>
      <c r="D192" s="43">
        <v>614234</v>
      </c>
      <c r="E192" s="245" t="s">
        <v>500</v>
      </c>
      <c r="F192" s="62">
        <v>1800</v>
      </c>
      <c r="G192" s="62">
        <v>2000</v>
      </c>
      <c r="H192" s="911">
        <f>2000+2000-1000</f>
        <v>3000</v>
      </c>
      <c r="I192" s="45"/>
      <c r="J192" s="47"/>
      <c r="K192" s="45"/>
      <c r="L192" s="918">
        <f t="shared" si="53"/>
        <v>3000</v>
      </c>
      <c r="M192" s="918">
        <f>2000+2000-1000</f>
        <v>3000</v>
      </c>
      <c r="N192" s="918">
        <f>2000+2000-1000</f>
        <v>3000</v>
      </c>
    </row>
    <row r="193" spans="1:16" ht="96.75" customHeight="1" x14ac:dyDescent="0.25">
      <c r="A193" s="18"/>
      <c r="B193" s="266"/>
      <c r="C193" s="100" t="s">
        <v>221</v>
      </c>
      <c r="D193" s="348">
        <v>614239</v>
      </c>
      <c r="E193" s="632" t="s">
        <v>573</v>
      </c>
      <c r="F193" s="39"/>
      <c r="G193" s="39">
        <v>8000</v>
      </c>
      <c r="H193" s="47">
        <f>8000</f>
        <v>8000</v>
      </c>
      <c r="I193" s="45"/>
      <c r="J193" s="47"/>
      <c r="K193" s="45"/>
      <c r="L193" s="62">
        <f t="shared" si="53"/>
        <v>8000</v>
      </c>
      <c r="M193" s="39">
        <v>8000</v>
      </c>
      <c r="N193" s="39">
        <v>8000</v>
      </c>
    </row>
    <row r="194" spans="1:16" ht="30" customHeight="1" x14ac:dyDescent="0.25">
      <c r="A194" s="869"/>
      <c r="B194" s="266"/>
      <c r="C194" s="936" t="s">
        <v>221</v>
      </c>
      <c r="D194" s="974">
        <v>614234</v>
      </c>
      <c r="E194" s="975" t="s">
        <v>1095</v>
      </c>
      <c r="F194" s="921"/>
      <c r="G194" s="921"/>
      <c r="H194" s="922">
        <v>7000</v>
      </c>
      <c r="I194" s="922"/>
      <c r="J194" s="922"/>
      <c r="K194" s="922"/>
      <c r="L194" s="921">
        <f t="shared" si="53"/>
        <v>7000</v>
      </c>
      <c r="M194" s="921">
        <v>7000</v>
      </c>
      <c r="N194" s="921">
        <v>7000</v>
      </c>
      <c r="O194" s="756" t="s">
        <v>1096</v>
      </c>
      <c r="P194" s="967"/>
    </row>
    <row r="195" spans="1:16" ht="38.25" customHeight="1" thickBot="1" x14ac:dyDescent="0.3">
      <c r="A195" s="18"/>
      <c r="B195" s="606"/>
      <c r="C195" s="37" t="s">
        <v>221</v>
      </c>
      <c r="D195" s="725" t="s">
        <v>876</v>
      </c>
      <c r="E195" s="44" t="s">
        <v>317</v>
      </c>
      <c r="F195" s="39">
        <v>4000</v>
      </c>
      <c r="G195" s="39">
        <f>2000+2000</f>
        <v>4000</v>
      </c>
      <c r="H195" s="47">
        <f>2000+2000</f>
        <v>4000</v>
      </c>
      <c r="I195" s="45"/>
      <c r="J195" s="47"/>
      <c r="K195" s="45"/>
      <c r="L195" s="39">
        <f t="shared" si="53"/>
        <v>4000</v>
      </c>
      <c r="M195" s="39">
        <f>2000+2000</f>
        <v>4000</v>
      </c>
      <c r="N195" s="39">
        <v>4000</v>
      </c>
      <c r="O195" s="756" t="s">
        <v>877</v>
      </c>
    </row>
    <row r="196" spans="1:16" x14ac:dyDescent="0.25">
      <c r="A196" s="18"/>
      <c r="B196" s="266"/>
      <c r="C196" s="348" t="s">
        <v>222</v>
      </c>
      <c r="D196" s="348">
        <v>614239</v>
      </c>
      <c r="E196" s="81" t="s">
        <v>46</v>
      </c>
      <c r="F196" s="62">
        <v>15765</v>
      </c>
      <c r="G196" s="62">
        <f>27000</f>
        <v>27000</v>
      </c>
      <c r="H196" s="313">
        <f>H197+H198+H199+H200+H201</f>
        <v>54000</v>
      </c>
      <c r="I196" s="47"/>
      <c r="J196" s="47"/>
      <c r="K196" s="47"/>
      <c r="L196" s="62">
        <f>H196+I196+J196+K196</f>
        <v>54000</v>
      </c>
      <c r="M196" s="918">
        <f>M197+M198+M199+M200+M201</f>
        <v>54000</v>
      </c>
      <c r="N196" s="918">
        <f>N197+N198+N199+N200+N201</f>
        <v>54000</v>
      </c>
      <c r="O196" s="757">
        <v>5000</v>
      </c>
      <c r="P196" s="763" t="s">
        <v>885</v>
      </c>
    </row>
    <row r="197" spans="1:16" x14ac:dyDescent="0.25">
      <c r="A197" s="869"/>
      <c r="B197" s="266"/>
      <c r="C197" s="348"/>
      <c r="D197" s="348"/>
      <c r="E197" s="890" t="s">
        <v>989</v>
      </c>
      <c r="F197" s="885"/>
      <c r="G197" s="885"/>
      <c r="H197" s="911">
        <v>17000</v>
      </c>
      <c r="I197" s="879"/>
      <c r="J197" s="879"/>
      <c r="K197" s="879"/>
      <c r="L197" s="885">
        <f>H197+I197+J197+K197</f>
        <v>17000</v>
      </c>
      <c r="M197" s="911">
        <v>17000</v>
      </c>
      <c r="N197" s="927">
        <v>17000</v>
      </c>
      <c r="O197" s="767"/>
      <c r="P197" s="763"/>
    </row>
    <row r="198" spans="1:16" ht="32.25" customHeight="1" thickBot="1" x14ac:dyDescent="0.3">
      <c r="A198" s="18"/>
      <c r="B198" s="266"/>
      <c r="C198" s="100"/>
      <c r="D198" s="100"/>
      <c r="E198" s="524" t="s">
        <v>990</v>
      </c>
      <c r="F198" s="729"/>
      <c r="G198" s="729"/>
      <c r="H198" s="47">
        <v>5000</v>
      </c>
      <c r="I198" s="47"/>
      <c r="J198" s="47"/>
      <c r="K198" s="47"/>
      <c r="L198" s="39">
        <f t="shared" si="53"/>
        <v>5000</v>
      </c>
      <c r="M198" s="62">
        <v>5000</v>
      </c>
      <c r="N198" s="762">
        <v>5000</v>
      </c>
      <c r="O198" s="759"/>
    </row>
    <row r="199" spans="1:16" ht="30.75" x14ac:dyDescent="0.25">
      <c r="A199" s="18"/>
      <c r="B199" s="266"/>
      <c r="C199" s="348"/>
      <c r="D199" s="100"/>
      <c r="E199" s="101" t="s">
        <v>502</v>
      </c>
      <c r="F199" s="62"/>
      <c r="G199" s="62">
        <v>6000</v>
      </c>
      <c r="H199" s="47">
        <f>10000-4000</f>
        <v>6000</v>
      </c>
      <c r="I199" s="47"/>
      <c r="J199" s="47"/>
      <c r="K199" s="47"/>
      <c r="L199" s="39">
        <f t="shared" si="53"/>
        <v>6000</v>
      </c>
      <c r="M199" s="62">
        <v>6000</v>
      </c>
      <c r="N199" s="762">
        <v>6000</v>
      </c>
    </row>
    <row r="200" spans="1:16" ht="48.75" customHeight="1" x14ac:dyDescent="0.25">
      <c r="A200" s="18"/>
      <c r="B200" s="266"/>
      <c r="C200" s="348"/>
      <c r="D200" s="100"/>
      <c r="E200" s="928" t="s">
        <v>991</v>
      </c>
      <c r="F200" s="62">
        <v>5765</v>
      </c>
      <c r="G200" s="62">
        <v>10000</v>
      </c>
      <c r="H200" s="911">
        <v>20000</v>
      </c>
      <c r="I200" s="911"/>
      <c r="J200" s="911"/>
      <c r="K200" s="911"/>
      <c r="L200" s="918">
        <f t="shared" si="53"/>
        <v>20000</v>
      </c>
      <c r="M200" s="918">
        <v>20000</v>
      </c>
      <c r="N200" s="865">
        <v>20000</v>
      </c>
    </row>
    <row r="201" spans="1:16" ht="48.75" customHeight="1" x14ac:dyDescent="0.25">
      <c r="A201" s="869"/>
      <c r="B201" s="266"/>
      <c r="C201" s="348"/>
      <c r="D201" s="898"/>
      <c r="E201" s="524" t="s">
        <v>428</v>
      </c>
      <c r="F201" s="885"/>
      <c r="G201" s="885">
        <v>6000</v>
      </c>
      <c r="H201" s="879">
        <v>6000</v>
      </c>
      <c r="I201" s="879"/>
      <c r="J201" s="879"/>
      <c r="K201" s="879"/>
      <c r="L201" s="885">
        <f t="shared" si="53"/>
        <v>6000</v>
      </c>
      <c r="M201" s="885">
        <v>6000</v>
      </c>
      <c r="N201" s="762">
        <v>6000</v>
      </c>
      <c r="P201" s="924"/>
    </row>
    <row r="202" spans="1:16" ht="45" customHeight="1" x14ac:dyDescent="0.25">
      <c r="A202" s="21"/>
      <c r="B202" s="266"/>
      <c r="C202" s="348" t="s">
        <v>222</v>
      </c>
      <c r="D202" s="100">
        <v>614239</v>
      </c>
      <c r="E202" s="524" t="s">
        <v>497</v>
      </c>
      <c r="F202" s="62">
        <v>19372</v>
      </c>
      <c r="G202" s="62">
        <v>20000</v>
      </c>
      <c r="H202" s="911">
        <f>20000+5000</f>
        <v>25000</v>
      </c>
      <c r="I202" s="47"/>
      <c r="J202" s="47"/>
      <c r="K202" s="47"/>
      <c r="L202" s="62">
        <f t="shared" si="53"/>
        <v>25000</v>
      </c>
      <c r="M202" s="62">
        <f>20000+5000</f>
        <v>25000</v>
      </c>
      <c r="N202" s="885">
        <f>20000+5000</f>
        <v>25000</v>
      </c>
    </row>
    <row r="203" spans="1:16" ht="30.75" x14ac:dyDescent="0.25">
      <c r="A203" s="18"/>
      <c r="B203" s="22"/>
      <c r="C203" s="37" t="s">
        <v>223</v>
      </c>
      <c r="D203" s="37">
        <v>614300</v>
      </c>
      <c r="E203" s="456" t="s">
        <v>355</v>
      </c>
      <c r="F203" s="39">
        <f>F204+F205+F206+F207+F209+F210+F211+F212+F213</f>
        <v>76583</v>
      </c>
      <c r="G203" s="39">
        <f>G204+G205+G206+G207+G209+G210+G211+G212+G213</f>
        <v>99000</v>
      </c>
      <c r="H203" s="39">
        <f>H204+H205+H206+H207+H209+H210+H211+H212+H213</f>
        <v>134000</v>
      </c>
      <c r="I203" s="39">
        <f t="shared" ref="I203:N203" si="54">I204+I205+I206+I207+I209+I210+I211+I212+I213</f>
        <v>0</v>
      </c>
      <c r="J203" s="39">
        <f t="shared" si="54"/>
        <v>0</v>
      </c>
      <c r="K203" s="39">
        <f t="shared" si="54"/>
        <v>0</v>
      </c>
      <c r="L203" s="39">
        <f>H203+I203+J203+K203</f>
        <v>134000</v>
      </c>
      <c r="M203" s="39">
        <f t="shared" si="54"/>
        <v>130000</v>
      </c>
      <c r="N203" s="39">
        <f t="shared" si="54"/>
        <v>130000</v>
      </c>
      <c r="P203" s="760" t="e">
        <f>L203+#REF!</f>
        <v>#REF!</v>
      </c>
    </row>
    <row r="204" spans="1:16" ht="22.5" x14ac:dyDescent="0.45">
      <c r="A204" s="18"/>
      <c r="B204" s="22"/>
      <c r="C204" s="37" t="s">
        <v>223</v>
      </c>
      <c r="D204" s="37">
        <v>614311</v>
      </c>
      <c r="E204" s="81" t="s">
        <v>356</v>
      </c>
      <c r="F204" s="39">
        <v>14400</v>
      </c>
      <c r="G204" s="39">
        <v>15000</v>
      </c>
      <c r="H204" s="911">
        <f>20000</f>
        <v>20000</v>
      </c>
      <c r="I204" s="45"/>
      <c r="J204" s="47"/>
      <c r="K204" s="45"/>
      <c r="L204" s="39">
        <f t="shared" si="53"/>
        <v>20000</v>
      </c>
      <c r="M204" s="918">
        <f>15000+5000</f>
        <v>20000</v>
      </c>
      <c r="N204" s="918">
        <f>15000+5000</f>
        <v>20000</v>
      </c>
      <c r="O204" s="802" t="s">
        <v>904</v>
      </c>
    </row>
    <row r="205" spans="1:16" x14ac:dyDescent="0.25">
      <c r="A205" s="18"/>
      <c r="B205" s="22"/>
      <c r="C205" s="37" t="s">
        <v>223</v>
      </c>
      <c r="D205" s="37">
        <v>614311</v>
      </c>
      <c r="E205" s="81" t="s">
        <v>357</v>
      </c>
      <c r="F205" s="39">
        <f>5000+5000</f>
        <v>10000</v>
      </c>
      <c r="G205" s="39">
        <f>5000+5000</f>
        <v>10000</v>
      </c>
      <c r="H205" s="45">
        <f>5000+5000</f>
        <v>10000</v>
      </c>
      <c r="I205" s="45"/>
      <c r="J205" s="47"/>
      <c r="K205" s="45"/>
      <c r="L205" s="39">
        <f t="shared" si="53"/>
        <v>10000</v>
      </c>
      <c r="M205" s="39">
        <f>5000+5000</f>
        <v>10000</v>
      </c>
      <c r="N205" s="39">
        <f>5000+5000</f>
        <v>10000</v>
      </c>
      <c r="O205" s="802"/>
    </row>
    <row r="206" spans="1:16" ht="30" customHeight="1" x14ac:dyDescent="0.25">
      <c r="A206" s="18"/>
      <c r="B206" s="22"/>
      <c r="C206" s="37" t="s">
        <v>223</v>
      </c>
      <c r="D206" s="37">
        <v>614311</v>
      </c>
      <c r="E206" s="245" t="s">
        <v>358</v>
      </c>
      <c r="F206" s="39">
        <v>2000</v>
      </c>
      <c r="G206" s="39">
        <v>2000</v>
      </c>
      <c r="H206" s="45">
        <v>2000</v>
      </c>
      <c r="I206" s="45"/>
      <c r="J206" s="47"/>
      <c r="K206" s="45"/>
      <c r="L206" s="39">
        <f t="shared" si="53"/>
        <v>2000</v>
      </c>
      <c r="M206" s="39">
        <v>2000</v>
      </c>
      <c r="N206" s="39">
        <v>2000</v>
      </c>
    </row>
    <row r="207" spans="1:16" x14ac:dyDescent="0.25">
      <c r="A207" s="18"/>
      <c r="B207" s="22"/>
      <c r="C207" s="37" t="s">
        <v>223</v>
      </c>
      <c r="D207" s="37">
        <v>614311</v>
      </c>
      <c r="E207" s="245" t="s">
        <v>359</v>
      </c>
      <c r="F207" s="39">
        <v>24850</v>
      </c>
      <c r="G207" s="39">
        <v>40000</v>
      </c>
      <c r="H207" s="911">
        <f>40000+10000</f>
        <v>50000</v>
      </c>
      <c r="I207" s="45"/>
      <c r="J207" s="47"/>
      <c r="K207" s="45"/>
      <c r="L207" s="39">
        <f t="shared" si="53"/>
        <v>50000</v>
      </c>
      <c r="M207" s="918">
        <f>25000+25000</f>
        <v>50000</v>
      </c>
      <c r="N207" s="918">
        <f>25000+25000</f>
        <v>50000</v>
      </c>
    </row>
    <row r="208" spans="1:16" x14ac:dyDescent="0.25">
      <c r="A208" s="18"/>
      <c r="B208" s="22"/>
      <c r="C208" s="37"/>
      <c r="D208" s="37"/>
      <c r="E208" s="101" t="s">
        <v>295</v>
      </c>
      <c r="F208" s="96">
        <v>10000</v>
      </c>
      <c r="G208" s="96">
        <v>22000</v>
      </c>
      <c r="H208" s="852">
        <f>22000+8000</f>
        <v>30000</v>
      </c>
      <c r="I208" s="50"/>
      <c r="J208" s="53"/>
      <c r="K208" s="50"/>
      <c r="L208" s="96">
        <f t="shared" si="53"/>
        <v>30000</v>
      </c>
      <c r="M208" s="920">
        <f>10000+20000</f>
        <v>30000</v>
      </c>
      <c r="N208" s="920">
        <f>10000+20000</f>
        <v>30000</v>
      </c>
    </row>
    <row r="209" spans="1:16" ht="26.25" customHeight="1" x14ac:dyDescent="0.25">
      <c r="A209" s="18"/>
      <c r="B209" s="22"/>
      <c r="C209" s="37"/>
      <c r="D209" s="37">
        <v>614311</v>
      </c>
      <c r="E209" s="101" t="s">
        <v>902</v>
      </c>
      <c r="F209" s="96"/>
      <c r="G209" s="96"/>
      <c r="H209" s="53">
        <v>12000</v>
      </c>
      <c r="I209" s="53"/>
      <c r="J209" s="53"/>
      <c r="K209" s="53"/>
      <c r="L209" s="897">
        <f t="shared" si="53"/>
        <v>12000</v>
      </c>
      <c r="M209" s="105">
        <v>12000</v>
      </c>
      <c r="N209" s="105">
        <v>12000</v>
      </c>
      <c r="O209" s="756" t="s">
        <v>901</v>
      </c>
      <c r="P209" s="812"/>
    </row>
    <row r="210" spans="1:16" ht="30.75" x14ac:dyDescent="0.25">
      <c r="A210" s="21"/>
      <c r="B210" s="22"/>
      <c r="C210" s="37" t="s">
        <v>604</v>
      </c>
      <c r="D210" s="100">
        <v>614322</v>
      </c>
      <c r="E210" s="245" t="s">
        <v>424</v>
      </c>
      <c r="F210" s="449">
        <v>2000</v>
      </c>
      <c r="G210" s="449">
        <f>(5000+1000)</f>
        <v>6000</v>
      </c>
      <c r="H210" s="452">
        <f>5000+1000-2000</f>
        <v>4000</v>
      </c>
      <c r="I210" s="452"/>
      <c r="J210" s="452"/>
      <c r="K210" s="452"/>
      <c r="L210" s="449">
        <f t="shared" ref="L210:L239" si="55">H210+I210+J210+K210</f>
        <v>4000</v>
      </c>
      <c r="M210" s="62">
        <f>5000+1000</f>
        <v>6000</v>
      </c>
      <c r="N210" s="62">
        <f>5000+1000</f>
        <v>6000</v>
      </c>
      <c r="O210" s="804" t="s">
        <v>900</v>
      </c>
    </row>
    <row r="211" spans="1:16" ht="45.75" x14ac:dyDescent="0.25">
      <c r="A211" s="18"/>
      <c r="B211" s="22"/>
      <c r="C211" s="37" t="s">
        <v>223</v>
      </c>
      <c r="D211" s="100">
        <v>614324</v>
      </c>
      <c r="E211" s="275" t="s">
        <v>425</v>
      </c>
      <c r="F211" s="62"/>
      <c r="G211" s="62">
        <v>1000</v>
      </c>
      <c r="H211" s="47">
        <v>1000</v>
      </c>
      <c r="I211" s="47"/>
      <c r="J211" s="47"/>
      <c r="K211" s="47"/>
      <c r="L211" s="39">
        <f t="shared" si="55"/>
        <v>1000</v>
      </c>
      <c r="M211" s="62">
        <f>2000-2000</f>
        <v>0</v>
      </c>
      <c r="N211" s="62">
        <f>2000-2000</f>
        <v>0</v>
      </c>
    </row>
    <row r="212" spans="1:16" x14ac:dyDescent="0.25">
      <c r="A212" s="18"/>
      <c r="B212" s="22"/>
      <c r="C212" s="37" t="s">
        <v>223</v>
      </c>
      <c r="D212" s="37">
        <v>614324</v>
      </c>
      <c r="E212" s="441" t="s">
        <v>443</v>
      </c>
      <c r="F212" s="62">
        <v>23333</v>
      </c>
      <c r="G212" s="62">
        <v>20000</v>
      </c>
      <c r="H212" s="911">
        <f>20000+10000</f>
        <v>30000</v>
      </c>
      <c r="I212" s="47"/>
      <c r="J212" s="47"/>
      <c r="K212" s="47"/>
      <c r="L212" s="918">
        <f t="shared" si="55"/>
        <v>30000</v>
      </c>
      <c r="M212" s="918">
        <f>20000+10000</f>
        <v>30000</v>
      </c>
      <c r="N212" s="918">
        <f>20000+10000</f>
        <v>30000</v>
      </c>
    </row>
    <row r="213" spans="1:16" ht="30.75" x14ac:dyDescent="0.25">
      <c r="A213" s="18"/>
      <c r="B213" s="22"/>
      <c r="C213" s="100"/>
      <c r="D213" s="100">
        <v>614324</v>
      </c>
      <c r="E213" s="101" t="s">
        <v>639</v>
      </c>
      <c r="F213" s="62"/>
      <c r="G213" s="62">
        <v>5000</v>
      </c>
      <c r="H213" s="47">
        <v>5000</v>
      </c>
      <c r="I213" s="47"/>
      <c r="J213" s="47"/>
      <c r="K213" s="47"/>
      <c r="L213" s="62">
        <f t="shared" si="55"/>
        <v>5000</v>
      </c>
      <c r="M213" s="62"/>
      <c r="N213" s="62"/>
    </row>
    <row r="214" spans="1:16" ht="20.25" customHeight="1" x14ac:dyDescent="0.25">
      <c r="A214" s="18"/>
      <c r="B214" s="22"/>
      <c r="C214" s="37" t="s">
        <v>223</v>
      </c>
      <c r="D214" s="37">
        <v>614324</v>
      </c>
      <c r="E214" s="578" t="s">
        <v>528</v>
      </c>
      <c r="F214" s="39">
        <v>11900</v>
      </c>
      <c r="G214" s="39">
        <f>6000+8000</f>
        <v>14000</v>
      </c>
      <c r="H214" s="47">
        <f>H215+H216+H217</f>
        <v>18000</v>
      </c>
      <c r="I214" s="45"/>
      <c r="J214" s="47"/>
      <c r="K214" s="45"/>
      <c r="L214" s="39">
        <f t="shared" si="55"/>
        <v>18000</v>
      </c>
      <c r="M214" s="39">
        <f>M215+M216+M217</f>
        <v>20000</v>
      </c>
      <c r="N214" s="876">
        <f>N215+N216+N217</f>
        <v>20000</v>
      </c>
    </row>
    <row r="215" spans="1:16" ht="30" x14ac:dyDescent="0.25">
      <c r="A215" s="18"/>
      <c r="B215" s="22"/>
      <c r="C215" s="37"/>
      <c r="D215" s="37"/>
      <c r="E215" s="147" t="s">
        <v>501</v>
      </c>
      <c r="F215" s="39">
        <v>3900</v>
      </c>
      <c r="G215" s="39">
        <v>6000</v>
      </c>
      <c r="H215" s="47">
        <v>6000</v>
      </c>
      <c r="I215" s="45"/>
      <c r="J215" s="47"/>
      <c r="K215" s="45"/>
      <c r="L215" s="39">
        <f t="shared" si="55"/>
        <v>6000</v>
      </c>
      <c r="M215" s="39">
        <v>6000</v>
      </c>
      <c r="N215" s="39">
        <v>6000</v>
      </c>
    </row>
    <row r="216" spans="1:16" ht="30" x14ac:dyDescent="0.25">
      <c r="A216" s="18"/>
      <c r="B216" s="22"/>
      <c r="C216" s="37"/>
      <c r="D216" s="37"/>
      <c r="E216" s="147" t="s">
        <v>499</v>
      </c>
      <c r="F216" s="39">
        <v>8000</v>
      </c>
      <c r="G216" s="39">
        <f>8000</f>
        <v>8000</v>
      </c>
      <c r="H216" s="47">
        <f>8000</f>
        <v>8000</v>
      </c>
      <c r="I216" s="45"/>
      <c r="J216" s="47"/>
      <c r="K216" s="45"/>
      <c r="L216" s="39">
        <f t="shared" si="55"/>
        <v>8000</v>
      </c>
      <c r="M216" s="39">
        <f>8000</f>
        <v>8000</v>
      </c>
      <c r="N216" s="39">
        <f>8000</f>
        <v>8000</v>
      </c>
    </row>
    <row r="217" spans="1:16" ht="22.5" customHeight="1" x14ac:dyDescent="0.25">
      <c r="A217" s="869"/>
      <c r="B217" s="22"/>
      <c r="C217" s="874"/>
      <c r="D217" s="874"/>
      <c r="E217" s="929" t="s">
        <v>992</v>
      </c>
      <c r="F217" s="918"/>
      <c r="G217" s="918"/>
      <c r="H217" s="911">
        <f>6000-2000</f>
        <v>4000</v>
      </c>
      <c r="I217" s="911"/>
      <c r="J217" s="911"/>
      <c r="K217" s="911"/>
      <c r="L217" s="918">
        <f t="shared" si="55"/>
        <v>4000</v>
      </c>
      <c r="M217" s="918">
        <v>6000</v>
      </c>
      <c r="N217" s="918">
        <v>6000</v>
      </c>
      <c r="P217" s="924"/>
    </row>
    <row r="218" spans="1:16" ht="32.25" customHeight="1" x14ac:dyDescent="0.25">
      <c r="A218" s="21"/>
      <c r="B218" s="22"/>
      <c r="C218" s="100" t="s">
        <v>223</v>
      </c>
      <c r="D218" s="100">
        <v>614324</v>
      </c>
      <c r="E218" s="457" t="s">
        <v>572</v>
      </c>
      <c r="F218" s="62">
        <v>20000</v>
      </c>
      <c r="G218" s="62">
        <v>40000</v>
      </c>
      <c r="H218" s="879">
        <f>40000-10000</f>
        <v>30000</v>
      </c>
      <c r="I218" s="47"/>
      <c r="J218" s="47"/>
      <c r="K218" s="47"/>
      <c r="L218" s="62">
        <f t="shared" si="55"/>
        <v>30000</v>
      </c>
      <c r="M218" s="885">
        <f>20000+10000</f>
        <v>30000</v>
      </c>
      <c r="N218" s="885">
        <f>20000+10000</f>
        <v>30000</v>
      </c>
    </row>
    <row r="219" spans="1:16" ht="16.5" thickBot="1" x14ac:dyDescent="0.3">
      <c r="A219" s="18"/>
      <c r="B219" s="266"/>
      <c r="C219" s="37" t="s">
        <v>223</v>
      </c>
      <c r="D219" s="37">
        <v>614311</v>
      </c>
      <c r="E219" s="38" t="s">
        <v>316</v>
      </c>
      <c r="F219" s="39">
        <v>3780</v>
      </c>
      <c r="G219" s="39">
        <v>5000</v>
      </c>
      <c r="H219" s="918">
        <f>5000+5000-2000</f>
        <v>8000</v>
      </c>
      <c r="I219" s="39"/>
      <c r="J219" s="62"/>
      <c r="K219" s="39"/>
      <c r="L219" s="39">
        <f t="shared" si="55"/>
        <v>8000</v>
      </c>
      <c r="M219" s="39">
        <v>10000</v>
      </c>
      <c r="N219" s="39">
        <v>10000</v>
      </c>
    </row>
    <row r="220" spans="1:16" x14ac:dyDescent="0.25">
      <c r="A220" s="18"/>
      <c r="B220" s="266"/>
      <c r="C220" s="37" t="s">
        <v>49</v>
      </c>
      <c r="D220" s="37">
        <v>614316</v>
      </c>
      <c r="E220" s="118" t="s">
        <v>43</v>
      </c>
      <c r="F220" s="39">
        <v>353554</v>
      </c>
      <c r="G220" s="879">
        <f>G221+G222+G223</f>
        <v>417000</v>
      </c>
      <c r="H220" s="47">
        <f>H221+H222+H223+H224</f>
        <v>440479.19999999995</v>
      </c>
      <c r="I220" s="45"/>
      <c r="J220" s="47"/>
      <c r="K220" s="45"/>
      <c r="L220" s="39">
        <f t="shared" si="55"/>
        <v>440479.19999999995</v>
      </c>
      <c r="M220" s="39">
        <f>M221+M222+M223+M224</f>
        <v>412200</v>
      </c>
      <c r="N220" s="876">
        <f>N221+N222+N223+N224</f>
        <v>412200</v>
      </c>
      <c r="O220" s="757"/>
    </row>
    <row r="221" spans="1:16" ht="16.5" thickBot="1" x14ac:dyDescent="0.3">
      <c r="A221" s="18"/>
      <c r="B221" s="266"/>
      <c r="C221" s="42"/>
      <c r="D221" s="42"/>
      <c r="E221" s="122" t="s">
        <v>638</v>
      </c>
      <c r="F221" s="47"/>
      <c r="G221" s="47">
        <f>336000</f>
        <v>336000</v>
      </c>
      <c r="H221" s="879">
        <f>(24252+(24252*5/100)+4909+2083)*12</f>
        <v>389479.19999999995</v>
      </c>
      <c r="I221" s="45"/>
      <c r="J221" s="47"/>
      <c r="K221" s="45"/>
      <c r="L221" s="39">
        <f t="shared" si="55"/>
        <v>389479.19999999995</v>
      </c>
      <c r="M221" s="47">
        <v>336200</v>
      </c>
      <c r="N221" s="764">
        <v>336200</v>
      </c>
      <c r="O221" s="759">
        <f>(H221-G221)+25000</f>
        <v>78479.199999999953</v>
      </c>
      <c r="P221" s="765" t="s">
        <v>883</v>
      </c>
    </row>
    <row r="222" spans="1:16" ht="60.75" x14ac:dyDescent="0.25">
      <c r="A222" s="18"/>
      <c r="B222" s="266"/>
      <c r="C222" s="42"/>
      <c r="D222" s="42"/>
      <c r="E222" s="121" t="s">
        <v>77</v>
      </c>
      <c r="F222" s="39">
        <v>36000</v>
      </c>
      <c r="G222" s="39">
        <v>36000</v>
      </c>
      <c r="H222" s="45">
        <f>36000</f>
        <v>36000</v>
      </c>
      <c r="I222" s="45"/>
      <c r="J222" s="47"/>
      <c r="K222" s="45"/>
      <c r="L222" s="39">
        <f t="shared" si="55"/>
        <v>36000</v>
      </c>
      <c r="M222" s="39">
        <v>36000</v>
      </c>
      <c r="N222" s="758">
        <v>36000</v>
      </c>
    </row>
    <row r="223" spans="1:16" ht="30.75" x14ac:dyDescent="0.25">
      <c r="A223" s="18"/>
      <c r="B223" s="266"/>
      <c r="C223" s="42"/>
      <c r="D223" s="42"/>
      <c r="E223" s="101" t="s">
        <v>466</v>
      </c>
      <c r="F223" s="39"/>
      <c r="G223" s="39">
        <v>45000</v>
      </c>
      <c r="H223" s="911">
        <f>45000-30000</f>
        <v>15000</v>
      </c>
      <c r="I223" s="45"/>
      <c r="J223" s="47"/>
      <c r="K223" s="45"/>
      <c r="L223" s="39">
        <f t="shared" si="55"/>
        <v>15000</v>
      </c>
      <c r="M223" s="39">
        <v>15000</v>
      </c>
      <c r="N223" s="758">
        <v>15000</v>
      </c>
      <c r="O223" s="756">
        <v>-30000</v>
      </c>
    </row>
    <row r="224" spans="1:16" ht="3" customHeight="1" x14ac:dyDescent="0.25">
      <c r="A224" s="869"/>
      <c r="B224" s="266"/>
      <c r="C224" s="42"/>
      <c r="D224" s="42"/>
      <c r="E224" s="577" t="s">
        <v>993</v>
      </c>
      <c r="F224" s="876"/>
      <c r="G224" s="876"/>
      <c r="H224" s="911"/>
      <c r="I224" s="878"/>
      <c r="J224" s="879"/>
      <c r="K224" s="878"/>
      <c r="L224" s="918">
        <f t="shared" si="55"/>
        <v>0</v>
      </c>
      <c r="M224" s="918">
        <v>25000</v>
      </c>
      <c r="N224" s="865">
        <v>25000</v>
      </c>
      <c r="P224" s="924"/>
    </row>
    <row r="225" spans="1:18" x14ac:dyDescent="0.25">
      <c r="A225" s="18"/>
      <c r="B225" s="266"/>
      <c r="C225" s="42" t="s">
        <v>50</v>
      </c>
      <c r="D225" s="42">
        <v>614316</v>
      </c>
      <c r="E225" s="372" t="s">
        <v>44</v>
      </c>
      <c r="F225" s="39">
        <v>334799</v>
      </c>
      <c r="G225" s="39">
        <v>395000</v>
      </c>
      <c r="H225" s="911">
        <f>H226+H227</f>
        <v>447012</v>
      </c>
      <c r="I225" s="45"/>
      <c r="J225" s="47"/>
      <c r="K225" s="45"/>
      <c r="L225" s="39">
        <f t="shared" si="55"/>
        <v>447012</v>
      </c>
      <c r="M225" s="39">
        <f>382100+90000</f>
        <v>472100</v>
      </c>
      <c r="N225" s="39">
        <f>382100+90000</f>
        <v>472100</v>
      </c>
      <c r="O225" s="756">
        <f>H225-G225</f>
        <v>52012</v>
      </c>
    </row>
    <row r="226" spans="1:18" x14ac:dyDescent="0.25">
      <c r="A226" s="869"/>
      <c r="B226" s="266"/>
      <c r="C226" s="42"/>
      <c r="D226" s="42"/>
      <c r="E226" s="122" t="s">
        <v>638</v>
      </c>
      <c r="F226" s="876"/>
      <c r="G226" s="876"/>
      <c r="H226" s="911">
        <f>(29900+(29900*5/100)+2342+2839)*12</f>
        <v>438912</v>
      </c>
      <c r="I226" s="878"/>
      <c r="J226" s="879"/>
      <c r="K226" s="878"/>
      <c r="L226" s="876"/>
      <c r="M226" s="876"/>
      <c r="N226" s="758"/>
      <c r="P226" s="986"/>
    </row>
    <row r="227" spans="1:18" x14ac:dyDescent="0.25">
      <c r="A227" s="18"/>
      <c r="B227" s="266"/>
      <c r="C227" s="42"/>
      <c r="D227" s="42"/>
      <c r="E227" s="122" t="s">
        <v>462</v>
      </c>
      <c r="F227" s="39">
        <v>8100</v>
      </c>
      <c r="G227" s="39">
        <v>8100</v>
      </c>
      <c r="H227" s="47">
        <v>8100</v>
      </c>
      <c r="I227" s="45"/>
      <c r="J227" s="47"/>
      <c r="K227" s="45"/>
      <c r="L227" s="39">
        <f t="shared" si="55"/>
        <v>8100</v>
      </c>
      <c r="M227" s="39">
        <v>8100</v>
      </c>
      <c r="N227" s="758">
        <v>8100</v>
      </c>
      <c r="O227" s="756">
        <f t="shared" ref="O227:O229" si="56">H227-G227</f>
        <v>0</v>
      </c>
    </row>
    <row r="228" spans="1:18" x14ac:dyDescent="0.25">
      <c r="A228" s="18"/>
      <c r="B228" s="266"/>
      <c r="C228" s="42"/>
      <c r="D228" s="42"/>
      <c r="E228" s="245" t="s">
        <v>461</v>
      </c>
      <c r="F228" s="39">
        <v>2700</v>
      </c>
      <c r="G228" s="39"/>
      <c r="H228" s="47"/>
      <c r="I228" s="45"/>
      <c r="J228" s="47"/>
      <c r="K228" s="45"/>
      <c r="L228" s="39">
        <f t="shared" si="55"/>
        <v>0</v>
      </c>
      <c r="M228" s="39"/>
      <c r="N228" s="758"/>
      <c r="O228" s="756">
        <f t="shared" si="56"/>
        <v>0</v>
      </c>
    </row>
    <row r="229" spans="1:18" ht="31.5" x14ac:dyDescent="0.25">
      <c r="A229" s="18"/>
      <c r="B229" s="266"/>
      <c r="C229" s="37" t="s">
        <v>224</v>
      </c>
      <c r="D229" s="37">
        <v>614316</v>
      </c>
      <c r="E229" s="178" t="s">
        <v>1174</v>
      </c>
      <c r="F229" s="39">
        <v>283000</v>
      </c>
      <c r="G229" s="39">
        <v>283000</v>
      </c>
      <c r="H229" s="911">
        <f>H230+H231</f>
        <v>315600.19999999995</v>
      </c>
      <c r="I229" s="45"/>
      <c r="J229" s="47"/>
      <c r="K229" s="45"/>
      <c r="L229" s="39">
        <f t="shared" si="55"/>
        <v>315600.19999999995</v>
      </c>
      <c r="M229" s="918">
        <f>283000+52000</f>
        <v>335000</v>
      </c>
      <c r="N229" s="918">
        <f>283000+52000</f>
        <v>335000</v>
      </c>
      <c r="O229" s="756">
        <f t="shared" si="56"/>
        <v>32600.199999999953</v>
      </c>
    </row>
    <row r="230" spans="1:18" x14ac:dyDescent="0.25">
      <c r="A230" s="869"/>
      <c r="B230" s="266"/>
      <c r="C230" s="874"/>
      <c r="D230" s="874"/>
      <c r="E230" s="122" t="s">
        <v>638</v>
      </c>
      <c r="F230" s="876"/>
      <c r="G230" s="876"/>
      <c r="H230" s="911">
        <f>(28702+(28702*5/100)+4622)*12-137109</f>
        <v>280000.19999999995</v>
      </c>
      <c r="I230" s="878"/>
      <c r="J230" s="879"/>
      <c r="K230" s="878"/>
      <c r="L230" s="876">
        <f t="shared" si="55"/>
        <v>280000.19999999995</v>
      </c>
      <c r="M230" s="918"/>
      <c r="N230" s="918"/>
      <c r="P230" s="986"/>
    </row>
    <row r="231" spans="1:18" ht="30.75" x14ac:dyDescent="0.25">
      <c r="A231" s="18"/>
      <c r="B231" s="266"/>
      <c r="C231" s="37"/>
      <c r="D231" s="37"/>
      <c r="E231" s="245" t="s">
        <v>409</v>
      </c>
      <c r="F231" s="39">
        <v>25000</v>
      </c>
      <c r="G231" s="39">
        <v>25000</v>
      </c>
      <c r="H231" s="911">
        <f>25000+10600</f>
        <v>35600</v>
      </c>
      <c r="I231" s="45"/>
      <c r="J231" s="47"/>
      <c r="K231" s="45"/>
      <c r="L231" s="39">
        <f t="shared" si="55"/>
        <v>35600</v>
      </c>
      <c r="M231" s="918">
        <f>25000+10600</f>
        <v>35600</v>
      </c>
      <c r="N231" s="918">
        <f>25000+10600</f>
        <v>35600</v>
      </c>
      <c r="P231" s="755">
        <v>461600</v>
      </c>
    </row>
    <row r="232" spans="1:18" s="733" customFormat="1" x14ac:dyDescent="0.25">
      <c r="A232" s="16"/>
      <c r="B232" s="734"/>
      <c r="C232" s="106" t="s">
        <v>222</v>
      </c>
      <c r="D232" s="106">
        <v>614181</v>
      </c>
      <c r="E232" s="118" t="s">
        <v>45</v>
      </c>
      <c r="F232" s="40">
        <v>406795</v>
      </c>
      <c r="G232" s="40">
        <f>461600</f>
        <v>461600</v>
      </c>
      <c r="H232" s="930">
        <f>H233+H234+H235</f>
        <v>464700</v>
      </c>
      <c r="I232" s="84"/>
      <c r="J232" s="598"/>
      <c r="K232" s="84"/>
      <c r="L232" s="301">
        <f t="shared" si="55"/>
        <v>464700</v>
      </c>
      <c r="M232" s="851">
        <f>490240+25020</f>
        <v>515260</v>
      </c>
      <c r="N232" s="851">
        <f>490240+25020</f>
        <v>515260</v>
      </c>
      <c r="O232" s="756">
        <f>H232-G232</f>
        <v>3100</v>
      </c>
      <c r="P232" s="799">
        <v>-14000</v>
      </c>
      <c r="Q232" s="731"/>
      <c r="R232" s="930">
        <f>(461600+53660-14000)+(12730*12*5/100)*12</f>
        <v>592916</v>
      </c>
    </row>
    <row r="233" spans="1:18" s="733" customFormat="1" x14ac:dyDescent="0.25">
      <c r="A233" s="16"/>
      <c r="B233" s="734"/>
      <c r="C233" s="988"/>
      <c r="D233" s="988"/>
      <c r="E233" s="122" t="s">
        <v>638</v>
      </c>
      <c r="F233" s="877"/>
      <c r="G233" s="877"/>
      <c r="H233" s="930">
        <f>(28500+(28500*5/100)+3100+2200)*12</f>
        <v>422700</v>
      </c>
      <c r="I233" s="84"/>
      <c r="J233" s="598"/>
      <c r="K233" s="84"/>
      <c r="L233" s="910"/>
      <c r="M233" s="851"/>
      <c r="N233" s="851"/>
      <c r="O233" s="756" t="s">
        <v>1210</v>
      </c>
      <c r="P233" s="799"/>
      <c r="Q233" s="731"/>
      <c r="R233" s="989"/>
    </row>
    <row r="234" spans="1:18" ht="31.5" thickBot="1" x14ac:dyDescent="0.3">
      <c r="A234" s="18"/>
      <c r="B234" s="266"/>
      <c r="C234" s="42"/>
      <c r="D234" s="42"/>
      <c r="E234" s="44" t="s">
        <v>468</v>
      </c>
      <c r="F234" s="39"/>
      <c r="G234" s="39">
        <v>26000</v>
      </c>
      <c r="H234" s="47">
        <v>26000</v>
      </c>
      <c r="I234" s="45"/>
      <c r="J234" s="47"/>
      <c r="K234" s="45"/>
      <c r="L234" s="62">
        <f t="shared" si="55"/>
        <v>26000</v>
      </c>
      <c r="M234" s="39">
        <v>26000</v>
      </c>
      <c r="N234" s="39">
        <v>26000</v>
      </c>
      <c r="P234" s="755">
        <f>SUM(P231:P232)</f>
        <v>447600</v>
      </c>
    </row>
    <row r="235" spans="1:18" ht="46.5" thickBot="1" x14ac:dyDescent="0.3">
      <c r="A235" s="18"/>
      <c r="B235" s="266"/>
      <c r="C235" s="42"/>
      <c r="D235" s="42"/>
      <c r="E235" s="44" t="s">
        <v>530</v>
      </c>
      <c r="F235" s="39">
        <v>800</v>
      </c>
      <c r="G235" s="39">
        <f>30000</f>
        <v>30000</v>
      </c>
      <c r="H235" s="47">
        <f>15000+15000-14000</f>
        <v>16000</v>
      </c>
      <c r="I235" s="45"/>
      <c r="J235" s="47"/>
      <c r="K235" s="45"/>
      <c r="L235" s="62">
        <f t="shared" si="55"/>
        <v>16000</v>
      </c>
      <c r="M235" s="39">
        <v>30000</v>
      </c>
      <c r="N235" s="758">
        <v>30000</v>
      </c>
      <c r="O235" s="800">
        <f>9000+5000</f>
        <v>14000</v>
      </c>
      <c r="P235" s="801" t="s">
        <v>884</v>
      </c>
    </row>
    <row r="236" spans="1:18" x14ac:dyDescent="0.25">
      <c r="A236" s="18"/>
      <c r="B236" s="266"/>
      <c r="C236" s="274" t="s">
        <v>49</v>
      </c>
      <c r="D236" s="274">
        <v>614316</v>
      </c>
      <c r="E236" s="373" t="s">
        <v>22</v>
      </c>
      <c r="F236" s="62">
        <v>180850</v>
      </c>
      <c r="G236" s="62">
        <v>198850</v>
      </c>
      <c r="H236" s="911">
        <f>(12730+(12730*5/100)+1145+1796)*12</f>
        <v>195690</v>
      </c>
      <c r="I236" s="47"/>
      <c r="J236" s="47"/>
      <c r="K236" s="47"/>
      <c r="L236" s="62">
        <f t="shared" si="55"/>
        <v>195690</v>
      </c>
      <c r="M236" s="918">
        <f>178850+41150</f>
        <v>220000</v>
      </c>
      <c r="N236" s="918">
        <f>178850+41150</f>
        <v>220000</v>
      </c>
      <c r="O236" s="756">
        <f t="shared" ref="O236" si="57">H236-G236</f>
        <v>-3160</v>
      </c>
    </row>
    <row r="237" spans="1:18" ht="30.75" x14ac:dyDescent="0.25">
      <c r="A237" s="18"/>
      <c r="B237" s="266"/>
      <c r="C237" s="100" t="s">
        <v>225</v>
      </c>
      <c r="D237" s="100">
        <v>614329</v>
      </c>
      <c r="E237" s="245" t="s">
        <v>411</v>
      </c>
      <c r="F237" s="62">
        <f>30000+40000</f>
        <v>70000</v>
      </c>
      <c r="G237" s="62">
        <f>30000+40000</f>
        <v>70000</v>
      </c>
      <c r="H237" s="47">
        <f>70000</f>
        <v>70000</v>
      </c>
      <c r="I237" s="47"/>
      <c r="J237" s="47"/>
      <c r="K237" s="47"/>
      <c r="L237" s="62">
        <f t="shared" si="55"/>
        <v>70000</v>
      </c>
      <c r="M237" s="62">
        <f>30000+40000</f>
        <v>70000</v>
      </c>
      <c r="N237" s="62">
        <f>30000+40000</f>
        <v>70000</v>
      </c>
    </row>
    <row r="238" spans="1:18" x14ac:dyDescent="0.25">
      <c r="A238" s="18"/>
      <c r="B238" s="266"/>
      <c r="C238" s="100" t="s">
        <v>225</v>
      </c>
      <c r="D238" s="100">
        <v>614329</v>
      </c>
      <c r="E238" s="245" t="s">
        <v>5</v>
      </c>
      <c r="F238" s="62">
        <v>4000</v>
      </c>
      <c r="G238" s="62">
        <v>2000</v>
      </c>
      <c r="H238" s="911">
        <f>2000+3000</f>
        <v>5000</v>
      </c>
      <c r="I238" s="47"/>
      <c r="J238" s="47"/>
      <c r="K238" s="47"/>
      <c r="L238" s="39">
        <f t="shared" si="55"/>
        <v>5000</v>
      </c>
      <c r="M238" s="62">
        <f>1000+4000</f>
        <v>5000</v>
      </c>
      <c r="N238" s="62">
        <f>2000+3000</f>
        <v>5000</v>
      </c>
    </row>
    <row r="239" spans="1:18" ht="45.75" x14ac:dyDescent="0.25">
      <c r="A239" s="18"/>
      <c r="B239" s="266"/>
      <c r="C239" s="100" t="s">
        <v>223</v>
      </c>
      <c r="D239" s="100">
        <v>614329</v>
      </c>
      <c r="E239" s="245" t="s">
        <v>338</v>
      </c>
      <c r="F239" s="62"/>
      <c r="G239" s="62">
        <v>10000</v>
      </c>
      <c r="H239" s="911">
        <f>10000+40000-20000</f>
        <v>30000</v>
      </c>
      <c r="I239" s="47"/>
      <c r="J239" s="47"/>
      <c r="K239" s="47"/>
      <c r="L239" s="62">
        <f t="shared" si="55"/>
        <v>30000</v>
      </c>
      <c r="M239" s="918">
        <f>20000+30000</f>
        <v>50000</v>
      </c>
      <c r="N239" s="918">
        <f>20000+30000</f>
        <v>50000</v>
      </c>
      <c r="O239" s="756" t="s">
        <v>1097</v>
      </c>
    </row>
    <row r="241" spans="1:14" x14ac:dyDescent="0.25">
      <c r="A241" s="18"/>
      <c r="B241" s="22"/>
      <c r="C241" s="37" t="s">
        <v>222</v>
      </c>
      <c r="D241" s="37">
        <v>614239</v>
      </c>
      <c r="E241" s="81" t="s">
        <v>17</v>
      </c>
      <c r="F241" s="62">
        <v>1282</v>
      </c>
      <c r="G241" s="62">
        <v>1000</v>
      </c>
      <c r="H241" s="918">
        <f>1000+300</f>
        <v>1300</v>
      </c>
      <c r="I241" s="39"/>
      <c r="J241" s="62"/>
      <c r="K241" s="39"/>
      <c r="L241" s="62">
        <f t="shared" ref="L241:L247" si="58">H241+I241+J241+K241</f>
        <v>1300</v>
      </c>
      <c r="M241" s="918">
        <f>2000-500-200</f>
        <v>1300</v>
      </c>
      <c r="N241" s="918">
        <f>2000-500-200</f>
        <v>1300</v>
      </c>
    </row>
    <row r="242" spans="1:14" ht="45.75" x14ac:dyDescent="0.25">
      <c r="A242" s="18"/>
      <c r="B242" s="22"/>
      <c r="C242" s="100" t="s">
        <v>220</v>
      </c>
      <c r="D242" s="100">
        <v>614253</v>
      </c>
      <c r="E242" s="245" t="s">
        <v>362</v>
      </c>
      <c r="F242" s="62">
        <v>39791</v>
      </c>
      <c r="G242" s="62">
        <v>35000</v>
      </c>
      <c r="H242" s="47"/>
      <c r="I242" s="47"/>
      <c r="J242" s="47"/>
      <c r="K242" s="47">
        <f>30000+5000</f>
        <v>35000</v>
      </c>
      <c r="L242" s="62">
        <f t="shared" si="58"/>
        <v>35000</v>
      </c>
      <c r="M242" s="62">
        <v>30000</v>
      </c>
      <c r="N242" s="62">
        <v>30000</v>
      </c>
    </row>
    <row r="243" spans="1:14" ht="30.75" x14ac:dyDescent="0.25">
      <c r="A243" s="18"/>
      <c r="B243" s="22"/>
      <c r="C243" s="100" t="s">
        <v>220</v>
      </c>
      <c r="D243" s="273">
        <v>614232</v>
      </c>
      <c r="E243" s="101" t="s">
        <v>366</v>
      </c>
      <c r="F243" s="110">
        <v>51700</v>
      </c>
      <c r="G243" s="110">
        <f>21000+19000</f>
        <v>40000</v>
      </c>
      <c r="H243" s="47"/>
      <c r="I243" s="47"/>
      <c r="J243" s="47"/>
      <c r="K243" s="47">
        <f>21000+19000</f>
        <v>40000</v>
      </c>
      <c r="L243" s="62">
        <f t="shared" si="58"/>
        <v>40000</v>
      </c>
      <c r="M243" s="110">
        <v>55000</v>
      </c>
      <c r="N243" s="110">
        <v>55000</v>
      </c>
    </row>
    <row r="244" spans="1:14" ht="30.75" x14ac:dyDescent="0.25">
      <c r="A244" s="18"/>
      <c r="B244" s="22"/>
      <c r="C244" s="100" t="s">
        <v>220</v>
      </c>
      <c r="D244" s="273">
        <v>614232</v>
      </c>
      <c r="E244" s="101" t="s">
        <v>363</v>
      </c>
      <c r="F244" s="105">
        <v>7778</v>
      </c>
      <c r="G244" s="105">
        <v>8000</v>
      </c>
      <c r="H244" s="47"/>
      <c r="I244" s="47"/>
      <c r="J244" s="47"/>
      <c r="K244" s="47">
        <f>7500+500</f>
        <v>8000</v>
      </c>
      <c r="L244" s="62">
        <f t="shared" si="58"/>
        <v>8000</v>
      </c>
      <c r="M244" s="105">
        <v>8000</v>
      </c>
      <c r="N244" s="105">
        <v>8000</v>
      </c>
    </row>
    <row r="245" spans="1:14" ht="45" x14ac:dyDescent="0.25">
      <c r="A245" s="18"/>
      <c r="B245" s="22"/>
      <c r="C245" s="100" t="s">
        <v>220</v>
      </c>
      <c r="D245" s="273">
        <v>614232</v>
      </c>
      <c r="E245" s="647" t="s">
        <v>547</v>
      </c>
      <c r="F245" s="105"/>
      <c r="G245" s="105">
        <v>1000</v>
      </c>
      <c r="H245" s="47"/>
      <c r="I245" s="47"/>
      <c r="J245" s="47"/>
      <c r="K245" s="47">
        <v>1000</v>
      </c>
      <c r="L245" s="62">
        <f t="shared" si="58"/>
        <v>1000</v>
      </c>
      <c r="M245" s="105">
        <v>1000</v>
      </c>
      <c r="N245" s="105">
        <v>1000</v>
      </c>
    </row>
    <row r="246" spans="1:14" ht="30.75" x14ac:dyDescent="0.25">
      <c r="A246" s="18"/>
      <c r="B246" s="22"/>
      <c r="C246" s="100" t="s">
        <v>220</v>
      </c>
      <c r="D246" s="273">
        <v>614232</v>
      </c>
      <c r="E246" s="101" t="s">
        <v>365</v>
      </c>
      <c r="F246" s="105">
        <v>3445</v>
      </c>
      <c r="G246" s="105">
        <f>5000+1000</f>
        <v>6000</v>
      </c>
      <c r="H246" s="47"/>
      <c r="I246" s="47"/>
      <c r="J246" s="47"/>
      <c r="K246" s="47">
        <f>5000+1000</f>
        <v>6000</v>
      </c>
      <c r="L246" s="62">
        <f t="shared" si="58"/>
        <v>6000</v>
      </c>
      <c r="M246" s="105">
        <f>5000+1000</f>
        <v>6000</v>
      </c>
      <c r="N246" s="105">
        <f>5000+1000</f>
        <v>6000</v>
      </c>
    </row>
    <row r="247" spans="1:14" ht="30.75" x14ac:dyDescent="0.25">
      <c r="A247" s="18"/>
      <c r="B247" s="22"/>
      <c r="C247" s="100" t="s">
        <v>220</v>
      </c>
      <c r="D247" s="273">
        <v>614232</v>
      </c>
      <c r="E247" s="101" t="s">
        <v>548</v>
      </c>
      <c r="F247" s="105">
        <v>37150</v>
      </c>
      <c r="G247" s="105">
        <f>15000+10000</f>
        <v>25000</v>
      </c>
      <c r="H247" s="47"/>
      <c r="I247" s="47"/>
      <c r="J247" s="47"/>
      <c r="K247" s="47">
        <f>15000+10000</f>
        <v>25000</v>
      </c>
      <c r="L247" s="62">
        <f t="shared" si="58"/>
        <v>25000</v>
      </c>
      <c r="M247" s="105">
        <v>40000</v>
      </c>
      <c r="N247" s="105">
        <v>40000</v>
      </c>
    </row>
    <row r="248" spans="1:14" x14ac:dyDescent="0.25">
      <c r="A248" s="18"/>
      <c r="B248" s="22"/>
      <c r="C248" s="131" t="s">
        <v>223</v>
      </c>
      <c r="D248" s="131">
        <v>614311</v>
      </c>
      <c r="E248" s="118" t="s">
        <v>18</v>
      </c>
      <c r="F248" s="83">
        <f>SUM(F249:F261)-F250-F252-F254</f>
        <v>103263</v>
      </c>
      <c r="G248" s="83">
        <f>SUM(G249:G261)-G250-G252-G254</f>
        <v>99500</v>
      </c>
      <c r="H248" s="40">
        <f>SUM(H249:H261)-H250-H252-H254</f>
        <v>99500</v>
      </c>
      <c r="I248" s="40">
        <f>SUM(I249:I260)-I250-I252-I254</f>
        <v>0</v>
      </c>
      <c r="J248" s="301">
        <f>SUM(J249:J260)-J250-J252-J254</f>
        <v>0</v>
      </c>
      <c r="K248" s="40">
        <f>SUM(K249:K260)-K250-K252-K254</f>
        <v>0</v>
      </c>
      <c r="L248" s="40">
        <f>SUM(L249:L261)-L250-L252-L254</f>
        <v>99500</v>
      </c>
      <c r="M248" s="83">
        <f>SUM(M249:M261)-M250-M252-M254</f>
        <v>99500</v>
      </c>
      <c r="N248" s="83">
        <f>SUM(N249:N261)-N250-N252-N254</f>
        <v>99500</v>
      </c>
    </row>
    <row r="249" spans="1:14" x14ac:dyDescent="0.25">
      <c r="A249" s="18"/>
      <c r="B249" s="22"/>
      <c r="C249" s="37" t="s">
        <v>223</v>
      </c>
      <c r="D249" s="37">
        <v>614311</v>
      </c>
      <c r="E249" s="132" t="s">
        <v>19</v>
      </c>
      <c r="F249" s="62">
        <v>24958</v>
      </c>
      <c r="G249" s="62">
        <f>23000-2000</f>
        <v>21000</v>
      </c>
      <c r="H249" s="47">
        <f>23000-2000</f>
        <v>21000</v>
      </c>
      <c r="I249" s="47"/>
      <c r="J249" s="47"/>
      <c r="K249" s="47"/>
      <c r="L249" s="62">
        <f t="shared" ref="L249:L263" si="59">H249+I249+J249+K249</f>
        <v>21000</v>
      </c>
      <c r="M249" s="62">
        <f>23000-2000</f>
        <v>21000</v>
      </c>
      <c r="N249" s="62">
        <f>23000-2000</f>
        <v>21000</v>
      </c>
    </row>
    <row r="250" spans="1:14" x14ac:dyDescent="0.25">
      <c r="A250" s="18"/>
      <c r="B250" s="22"/>
      <c r="C250" s="37"/>
      <c r="D250" s="37">
        <v>614311</v>
      </c>
      <c r="E250" s="49" t="s">
        <v>167</v>
      </c>
      <c r="F250" s="39">
        <v>4000</v>
      </c>
      <c r="G250" s="39">
        <v>2000</v>
      </c>
      <c r="H250" s="45">
        <v>2000</v>
      </c>
      <c r="I250" s="45"/>
      <c r="J250" s="47"/>
      <c r="K250" s="45"/>
      <c r="L250" s="62">
        <f t="shared" si="59"/>
        <v>2000</v>
      </c>
      <c r="M250" s="39">
        <v>2000</v>
      </c>
      <c r="N250" s="39">
        <v>2000</v>
      </c>
    </row>
    <row r="251" spans="1:14" ht="30" x14ac:dyDescent="0.25">
      <c r="A251" s="18"/>
      <c r="B251" s="22"/>
      <c r="C251" s="37" t="s">
        <v>223</v>
      </c>
      <c r="D251" s="37">
        <v>614311</v>
      </c>
      <c r="E251" s="133" t="s">
        <v>69</v>
      </c>
      <c r="F251" s="62">
        <v>26958</v>
      </c>
      <c r="G251" s="62">
        <f>27000-2000</f>
        <v>25000</v>
      </c>
      <c r="H251" s="47">
        <f>27000-2000</f>
        <v>25000</v>
      </c>
      <c r="I251" s="47"/>
      <c r="J251" s="47"/>
      <c r="K251" s="47"/>
      <c r="L251" s="62">
        <f t="shared" si="59"/>
        <v>25000</v>
      </c>
      <c r="M251" s="62">
        <f>27000-2000</f>
        <v>25000</v>
      </c>
      <c r="N251" s="62">
        <f>27000-2000</f>
        <v>25000</v>
      </c>
    </row>
    <row r="252" spans="1:14" x14ac:dyDescent="0.25">
      <c r="A252" s="18"/>
      <c r="B252" s="22"/>
      <c r="C252" s="37"/>
      <c r="D252" s="37">
        <v>614311</v>
      </c>
      <c r="E252" s="133" t="s">
        <v>155</v>
      </c>
      <c r="F252" s="39">
        <v>6000</v>
      </c>
      <c r="G252" s="39">
        <v>6000</v>
      </c>
      <c r="H252" s="45">
        <v>6000</v>
      </c>
      <c r="I252" s="45"/>
      <c r="J252" s="47"/>
      <c r="K252" s="45"/>
      <c r="L252" s="62">
        <f t="shared" si="59"/>
        <v>6000</v>
      </c>
      <c r="M252" s="39">
        <v>6000</v>
      </c>
      <c r="N252" s="39">
        <v>6000</v>
      </c>
    </row>
    <row r="253" spans="1:14" x14ac:dyDescent="0.25">
      <c r="A253" s="18"/>
      <c r="B253" s="22"/>
      <c r="C253" s="37" t="s">
        <v>223</v>
      </c>
      <c r="D253" s="37">
        <v>614311</v>
      </c>
      <c r="E253" s="134" t="s">
        <v>20</v>
      </c>
      <c r="F253" s="62">
        <v>22958</v>
      </c>
      <c r="G253" s="62">
        <f>23000-2000</f>
        <v>21000</v>
      </c>
      <c r="H253" s="47">
        <f>23000-2000</f>
        <v>21000</v>
      </c>
      <c r="I253" s="47"/>
      <c r="J253" s="47"/>
      <c r="K253" s="47"/>
      <c r="L253" s="62">
        <f t="shared" si="59"/>
        <v>21000</v>
      </c>
      <c r="M253" s="62">
        <f>23000-2000</f>
        <v>21000</v>
      </c>
      <c r="N253" s="62">
        <f>23000-2000</f>
        <v>21000</v>
      </c>
    </row>
    <row r="254" spans="1:14" x14ac:dyDescent="0.25">
      <c r="A254" s="18"/>
      <c r="B254" s="22"/>
      <c r="C254" s="37"/>
      <c r="D254" s="37">
        <v>614311</v>
      </c>
      <c r="E254" s="134" t="s">
        <v>168</v>
      </c>
      <c r="F254" s="39">
        <v>2000</v>
      </c>
      <c r="G254" s="39">
        <v>2000</v>
      </c>
      <c r="H254" s="45">
        <v>2000</v>
      </c>
      <c r="I254" s="45"/>
      <c r="J254" s="47"/>
      <c r="K254" s="45"/>
      <c r="L254" s="62">
        <f t="shared" si="59"/>
        <v>2000</v>
      </c>
      <c r="M254" s="39">
        <v>2000</v>
      </c>
      <c r="N254" s="39">
        <v>2000</v>
      </c>
    </row>
    <row r="255" spans="1:14" x14ac:dyDescent="0.25">
      <c r="A255" s="18"/>
      <c r="B255" s="22"/>
      <c r="C255" s="37" t="s">
        <v>223</v>
      </c>
      <c r="D255" s="37">
        <v>614311</v>
      </c>
      <c r="E255" s="134" t="s">
        <v>70</v>
      </c>
      <c r="F255" s="62">
        <v>5949</v>
      </c>
      <c r="G255" s="62">
        <f>6000-500</f>
        <v>5500</v>
      </c>
      <c r="H255" s="47">
        <f>6000-500</f>
        <v>5500</v>
      </c>
      <c r="I255" s="47"/>
      <c r="J255" s="47"/>
      <c r="K255" s="47"/>
      <c r="L255" s="62">
        <f t="shared" si="59"/>
        <v>5500</v>
      </c>
      <c r="M255" s="62">
        <f>6000-500</f>
        <v>5500</v>
      </c>
      <c r="N255" s="62">
        <f>6000-500</f>
        <v>5500</v>
      </c>
    </row>
    <row r="256" spans="1:14" x14ac:dyDescent="0.25">
      <c r="A256" s="18"/>
      <c r="B256" s="22"/>
      <c r="C256" s="37" t="s">
        <v>223</v>
      </c>
      <c r="D256" s="37">
        <v>614311</v>
      </c>
      <c r="E256" s="134" t="s">
        <v>21</v>
      </c>
      <c r="F256" s="39">
        <v>4485</v>
      </c>
      <c r="G256" s="39">
        <v>4500</v>
      </c>
      <c r="H256" s="45">
        <v>4500</v>
      </c>
      <c r="I256" s="45"/>
      <c r="J256" s="47"/>
      <c r="K256" s="45"/>
      <c r="L256" s="62">
        <f t="shared" si="59"/>
        <v>4500</v>
      </c>
      <c r="M256" s="39">
        <v>4500</v>
      </c>
      <c r="N256" s="39">
        <v>4500</v>
      </c>
    </row>
    <row r="257" spans="1:16" x14ac:dyDescent="0.25">
      <c r="A257" s="18"/>
      <c r="B257" s="22"/>
      <c r="C257" s="37" t="s">
        <v>223</v>
      </c>
      <c r="D257" s="37">
        <v>614311</v>
      </c>
      <c r="E257" s="134" t="s">
        <v>71</v>
      </c>
      <c r="F257" s="39">
        <v>4485</v>
      </c>
      <c r="G257" s="39">
        <v>4500</v>
      </c>
      <c r="H257" s="45">
        <v>4500</v>
      </c>
      <c r="I257" s="45"/>
      <c r="J257" s="47"/>
      <c r="K257" s="45"/>
      <c r="L257" s="62">
        <f t="shared" si="59"/>
        <v>4500</v>
      </c>
      <c r="M257" s="39">
        <v>4500</v>
      </c>
      <c r="N257" s="39">
        <v>4500</v>
      </c>
    </row>
    <row r="258" spans="1:16" ht="30.75" x14ac:dyDescent="0.25">
      <c r="A258" s="18"/>
      <c r="B258" s="22"/>
      <c r="C258" s="37" t="s">
        <v>223</v>
      </c>
      <c r="D258" s="37">
        <v>614311</v>
      </c>
      <c r="E258" s="101" t="s">
        <v>455</v>
      </c>
      <c r="F258" s="96">
        <v>4500</v>
      </c>
      <c r="G258" s="96">
        <v>4500</v>
      </c>
      <c r="H258" s="47">
        <v>4500</v>
      </c>
      <c r="I258" s="45"/>
      <c r="J258" s="47"/>
      <c r="K258" s="45"/>
      <c r="L258" s="62">
        <f t="shared" si="59"/>
        <v>4500</v>
      </c>
      <c r="M258" s="96">
        <v>4500</v>
      </c>
      <c r="N258" s="96">
        <v>4500</v>
      </c>
    </row>
    <row r="259" spans="1:16" ht="30.75" x14ac:dyDescent="0.25">
      <c r="A259" s="18"/>
      <c r="B259" s="22"/>
      <c r="C259" s="37" t="s">
        <v>223</v>
      </c>
      <c r="D259" s="37">
        <v>614311</v>
      </c>
      <c r="E259" s="101" t="s">
        <v>180</v>
      </c>
      <c r="F259" s="105">
        <v>4485</v>
      </c>
      <c r="G259" s="105">
        <f>4500</f>
        <v>4500</v>
      </c>
      <c r="H259" s="47">
        <f>4500</f>
        <v>4500</v>
      </c>
      <c r="I259" s="45"/>
      <c r="J259" s="47"/>
      <c r="K259" s="45"/>
      <c r="L259" s="62">
        <f t="shared" si="59"/>
        <v>4500</v>
      </c>
      <c r="M259" s="105">
        <f>4500</f>
        <v>4500</v>
      </c>
      <c r="N259" s="105">
        <f>4500</f>
        <v>4500</v>
      </c>
    </row>
    <row r="260" spans="1:16" ht="30.75" x14ac:dyDescent="0.25">
      <c r="A260" s="18"/>
      <c r="B260" s="22"/>
      <c r="C260" s="37" t="s">
        <v>223</v>
      </c>
      <c r="D260" s="37">
        <v>614311</v>
      </c>
      <c r="E260" s="135" t="s">
        <v>147</v>
      </c>
      <c r="F260" s="105">
        <v>4485</v>
      </c>
      <c r="G260" s="105">
        <v>4500</v>
      </c>
      <c r="H260" s="45">
        <v>4500</v>
      </c>
      <c r="I260" s="45"/>
      <c r="J260" s="47"/>
      <c r="K260" s="45"/>
      <c r="L260" s="62">
        <f t="shared" si="59"/>
        <v>4500</v>
      </c>
      <c r="M260" s="105">
        <v>4500</v>
      </c>
      <c r="N260" s="96">
        <v>4500</v>
      </c>
    </row>
    <row r="261" spans="1:16" x14ac:dyDescent="0.25">
      <c r="A261" s="18"/>
      <c r="B261" s="22"/>
      <c r="C261" s="37" t="s">
        <v>223</v>
      </c>
      <c r="D261" s="37">
        <v>614311</v>
      </c>
      <c r="E261" s="458" t="s">
        <v>635</v>
      </c>
      <c r="F261" s="62"/>
      <c r="G261" s="62">
        <v>4500</v>
      </c>
      <c r="H261" s="47">
        <v>4500</v>
      </c>
      <c r="I261" s="45"/>
      <c r="J261" s="47"/>
      <c r="K261" s="45"/>
      <c r="L261" s="62">
        <f t="shared" si="59"/>
        <v>4500</v>
      </c>
      <c r="M261" s="62">
        <v>4500</v>
      </c>
      <c r="N261" s="62">
        <v>4500</v>
      </c>
    </row>
    <row r="262" spans="1:16" x14ac:dyDescent="0.25">
      <c r="A262" s="18"/>
      <c r="B262" s="22"/>
      <c r="C262" s="37" t="s">
        <v>223</v>
      </c>
      <c r="D262" s="42">
        <v>614311</v>
      </c>
      <c r="E262" s="136" t="s">
        <v>115</v>
      </c>
      <c r="F262" s="62">
        <v>58750</v>
      </c>
      <c r="G262" s="62">
        <f>60000-10000</f>
        <v>50000</v>
      </c>
      <c r="H262" s="47">
        <f>60000-10000</f>
        <v>50000</v>
      </c>
      <c r="I262" s="47"/>
      <c r="J262" s="47"/>
      <c r="K262" s="47"/>
      <c r="L262" s="62">
        <f t="shared" si="59"/>
        <v>50000</v>
      </c>
      <c r="M262" s="62">
        <f>60000-10000</f>
        <v>50000</v>
      </c>
      <c r="N262" s="62">
        <f>60000-10000</f>
        <v>50000</v>
      </c>
    </row>
    <row r="263" spans="1:16" ht="30.75" x14ac:dyDescent="0.25">
      <c r="A263" s="18"/>
      <c r="B263" s="22"/>
      <c r="C263" s="100" t="s">
        <v>215</v>
      </c>
      <c r="D263" s="100">
        <v>614811</v>
      </c>
      <c r="E263" s="245" t="s">
        <v>339</v>
      </c>
      <c r="F263" s="110">
        <v>160</v>
      </c>
      <c r="G263" s="110">
        <v>1000</v>
      </c>
      <c r="H263" s="62">
        <v>1000</v>
      </c>
      <c r="I263" s="62"/>
      <c r="J263" s="62"/>
      <c r="K263" s="62"/>
      <c r="L263" s="62">
        <f t="shared" si="59"/>
        <v>1000</v>
      </c>
      <c r="M263" s="110">
        <v>1000</v>
      </c>
      <c r="N263" s="110">
        <v>20000</v>
      </c>
      <c r="O263" s="756" t="s">
        <v>906</v>
      </c>
    </row>
    <row r="264" spans="1:16" ht="30" x14ac:dyDescent="0.25">
      <c r="A264" s="869"/>
      <c r="B264" s="22"/>
      <c r="C264" s="874" t="s">
        <v>223</v>
      </c>
      <c r="D264" s="146">
        <v>614311</v>
      </c>
      <c r="E264" s="350" t="s">
        <v>504</v>
      </c>
      <c r="F264" s="589">
        <v>39373</v>
      </c>
      <c r="G264" s="589">
        <v>30000</v>
      </c>
      <c r="H264" s="885"/>
      <c r="I264" s="885"/>
      <c r="J264" s="885"/>
      <c r="K264" s="885"/>
      <c r="L264" s="885"/>
      <c r="M264" s="110"/>
      <c r="N264" s="110"/>
      <c r="P264" s="1015"/>
    </row>
    <row r="265" spans="1:16" ht="45" x14ac:dyDescent="0.25">
      <c r="A265" s="869"/>
      <c r="B265" s="22"/>
      <c r="C265" s="137" t="s">
        <v>223</v>
      </c>
      <c r="D265" s="42">
        <v>614417</v>
      </c>
      <c r="E265" s="350" t="s">
        <v>407</v>
      </c>
      <c r="F265" s="589">
        <v>24000</v>
      </c>
      <c r="G265" s="589">
        <v>24000</v>
      </c>
      <c r="H265" s="885"/>
      <c r="I265" s="885"/>
      <c r="J265" s="885"/>
      <c r="K265" s="885"/>
      <c r="L265" s="885"/>
      <c r="M265" s="110"/>
      <c r="N265" s="110"/>
      <c r="P265" s="1015"/>
    </row>
    <row r="266" spans="1:16" x14ac:dyDescent="0.25">
      <c r="A266" s="869"/>
      <c r="B266" s="22"/>
      <c r="C266" s="348" t="s">
        <v>874</v>
      </c>
      <c r="D266" s="274">
        <v>614511</v>
      </c>
      <c r="E266" s="728" t="s">
        <v>880</v>
      </c>
      <c r="F266" s="117"/>
      <c r="G266" s="117">
        <v>200000</v>
      </c>
      <c r="H266" s="885"/>
      <c r="I266" s="885"/>
      <c r="J266" s="885"/>
      <c r="K266" s="885"/>
      <c r="L266" s="885"/>
      <c r="M266" s="110"/>
      <c r="N266" s="110"/>
      <c r="P266" s="1015"/>
    </row>
    <row r="267" spans="1:16" x14ac:dyDescent="0.25">
      <c r="A267" s="18"/>
      <c r="B267" s="22"/>
      <c r="C267" s="124"/>
      <c r="D267" s="27">
        <v>614000</v>
      </c>
      <c r="E267" s="55" t="s">
        <v>23</v>
      </c>
      <c r="F267" s="884">
        <f>F172+F214+F218+F191+F192+F193+F195+F196+F202+F219+F220+F225+F229+F232+F236+F237+F238+F239+F241+F242+F243+F244+F245+F246+F247+F248+F261+F262+F263+F264+F265+F266</f>
        <v>3019321</v>
      </c>
      <c r="G267" s="56">
        <f>G172+G214+G218+G191+G192+G193+G195+G196+G202+G219+G220+G225+G229+G232+G236+G237+G238+G239+G241+G242+G243+G244+G245+G246+G247+G248+G261+G262+G263+G264+G265+G266</f>
        <v>3291050</v>
      </c>
      <c r="H267" s="56">
        <f>H172+H190+H191+H192+H193+H194+H195+H196+H202+H214+H218+H219+H220+H225+H229+H232+H236+H237+H238+H239+H241+H242+H243+H244+H245+H246+H247+H248+H262+H263</f>
        <v>3237881.4</v>
      </c>
      <c r="I267" s="56">
        <f>I172+I191+I192+I193+I195+I196+I202+I214+I218+I219+I220+I225+I229+I232+I236+I237+I238+I239+I241+I242+I243+I244+I245+I246+I247+I248+I262+I263</f>
        <v>0</v>
      </c>
      <c r="J267" s="56">
        <f>J172+J191+J192+J193+J195+J196+J202+J214+J218+J219+J220+J225+J229+J232+J236+J237+J238+J239+J241+J242+J243+J244+J245+J246+J247+J248+J262+J263</f>
        <v>0</v>
      </c>
      <c r="K267" s="56">
        <f>K172+K191+K192+K193+K195+K196+K202+K214+K218+K219+K220+K225+K229+K232+K236+K237+K238+K239+K241+K242+K243+K244+K245+K246+K247+K248+K262+K263</f>
        <v>115000</v>
      </c>
      <c r="L267" s="56">
        <f>L172+L190+L191+L192+L193+L194+L195+L196+L202+L214+L218+L219+L220+L225+L229+L232+L236+L237+L238+L239+L241+L242+L243+L244+L245+L246+L247+L248+L262+L263</f>
        <v>3352881.4</v>
      </c>
      <c r="M267" s="56">
        <f>M172+M190+M191+M192+M193+M194+M195+M196+M202+M214+M218+M219+M220+M225+M229+M232+M236+M237+M238+M239+M241+M242+M243+M244+M245+M246+M247+M248+M262+M263</f>
        <v>3508960</v>
      </c>
      <c r="N267" s="884">
        <f>N172+N190+N191+N192+N193+N194+N195+N196+N202+N214+N218+N219+N220+N225+N229+N232+N236+N237+N238+N239+N241+N242+N243+N244+N245+N246+N247+N248+N262+N263</f>
        <v>3515960</v>
      </c>
      <c r="O267" s="756" t="e">
        <f>L267+#REF!</f>
        <v>#REF!</v>
      </c>
      <c r="P267" s="763" t="s">
        <v>905</v>
      </c>
    </row>
    <row r="268" spans="1:16" x14ac:dyDescent="0.25">
      <c r="A268" s="18"/>
      <c r="B268" s="22"/>
      <c r="C268" s="573"/>
      <c r="D268" s="243"/>
      <c r="E268" s="573"/>
      <c r="F268" s="574"/>
      <c r="G268" s="574"/>
      <c r="H268" s="244"/>
      <c r="I268" s="244"/>
      <c r="J268" s="244"/>
      <c r="K268" s="244"/>
      <c r="L268" s="574"/>
      <c r="M268" s="574"/>
      <c r="N268" s="574"/>
    </row>
    <row r="269" spans="1:16" ht="45.75" x14ac:dyDescent="0.25">
      <c r="A269" s="18"/>
      <c r="B269" s="22"/>
      <c r="C269" s="100" t="s">
        <v>220</v>
      </c>
      <c r="D269" s="100">
        <v>615232</v>
      </c>
      <c r="E269" s="245" t="s">
        <v>364</v>
      </c>
      <c r="F269" s="62">
        <v>72074</v>
      </c>
      <c r="G269" s="62">
        <v>60000</v>
      </c>
      <c r="H269" s="62"/>
      <c r="I269" s="62"/>
      <c r="J269" s="62"/>
      <c r="K269" s="918">
        <v>75000</v>
      </c>
      <c r="L269" s="62">
        <f t="shared" ref="L269:L275" si="60">H269+I269+J269+K269</f>
        <v>75000</v>
      </c>
      <c r="M269" s="918">
        <f>50000+25000</f>
        <v>75000</v>
      </c>
      <c r="N269" s="918">
        <f>50000+25000</f>
        <v>75000</v>
      </c>
    </row>
    <row r="270" spans="1:16" ht="45.75" customHeight="1" x14ac:dyDescent="0.25">
      <c r="A270" s="18"/>
      <c r="B270" s="22"/>
      <c r="C270" s="37" t="s">
        <v>223</v>
      </c>
      <c r="D270" s="37">
        <v>615311</v>
      </c>
      <c r="E270" s="458" t="s">
        <v>367</v>
      </c>
      <c r="F270" s="39">
        <v>28950</v>
      </c>
      <c r="G270" s="39">
        <v>30000</v>
      </c>
      <c r="H270" s="47">
        <f>30000-6000+6000</f>
        <v>30000</v>
      </c>
      <c r="I270" s="45"/>
      <c r="J270" s="47"/>
      <c r="K270" s="45"/>
      <c r="L270" s="62">
        <f t="shared" si="60"/>
        <v>30000</v>
      </c>
      <c r="M270" s="39">
        <v>30000</v>
      </c>
      <c r="N270" s="39">
        <v>30000</v>
      </c>
    </row>
    <row r="271" spans="1:16" ht="30" x14ac:dyDescent="0.25">
      <c r="A271" s="18"/>
      <c r="B271" s="22"/>
      <c r="C271" s="137" t="s">
        <v>222</v>
      </c>
      <c r="D271" s="141">
        <v>615311</v>
      </c>
      <c r="E271" s="142" t="s">
        <v>91</v>
      </c>
      <c r="F271" s="62"/>
      <c r="G271" s="62">
        <f>20000-10000</f>
        <v>10000</v>
      </c>
      <c r="H271" s="911">
        <f>10000-10000</f>
        <v>0</v>
      </c>
      <c r="I271" s="911"/>
      <c r="J271" s="911"/>
      <c r="K271" s="911"/>
      <c r="L271" s="918">
        <f t="shared" si="60"/>
        <v>0</v>
      </c>
      <c r="M271" s="918">
        <f>10000-10000</f>
        <v>0</v>
      </c>
      <c r="N271" s="918">
        <f>10000-10000</f>
        <v>0</v>
      </c>
    </row>
    <row r="272" spans="1:16" ht="30" x14ac:dyDescent="0.25">
      <c r="A272" s="18"/>
      <c r="B272" s="22"/>
      <c r="C272" s="37" t="s">
        <v>1076</v>
      </c>
      <c r="D272" s="128">
        <v>615311</v>
      </c>
      <c r="E272" s="350" t="s">
        <v>503</v>
      </c>
      <c r="F272" s="556">
        <v>47212</v>
      </c>
      <c r="G272" s="556"/>
      <c r="H272" s="105">
        <f>5000-5000</f>
        <v>0</v>
      </c>
      <c r="I272" s="105"/>
      <c r="J272" s="105"/>
      <c r="K272" s="96"/>
      <c r="L272" s="96">
        <f t="shared" si="60"/>
        <v>0</v>
      </c>
      <c r="M272" s="556"/>
      <c r="N272" s="556"/>
    </row>
    <row r="273" spans="1:17" ht="30" x14ac:dyDescent="0.25">
      <c r="A273" s="18"/>
      <c r="B273" s="22"/>
      <c r="C273" s="37" t="s">
        <v>1076</v>
      </c>
      <c r="D273" s="128">
        <v>615311</v>
      </c>
      <c r="E273" s="350" t="s">
        <v>888</v>
      </c>
      <c r="F273" s="556">
        <v>18170</v>
      </c>
      <c r="G273" s="556"/>
      <c r="H273" s="105">
        <f>40000-40000</f>
        <v>0</v>
      </c>
      <c r="I273" s="105"/>
      <c r="J273" s="105"/>
      <c r="K273" s="96"/>
      <c r="L273" s="96">
        <f t="shared" si="60"/>
        <v>0</v>
      </c>
      <c r="M273" s="556"/>
      <c r="N273" s="556"/>
    </row>
    <row r="274" spans="1:17" ht="30" x14ac:dyDescent="0.25">
      <c r="A274" s="869"/>
      <c r="B274" s="22"/>
      <c r="C274" s="555" t="s">
        <v>1076</v>
      </c>
      <c r="D274" s="932">
        <v>615311</v>
      </c>
      <c r="E274" s="933" t="s">
        <v>1098</v>
      </c>
      <c r="F274" s="931"/>
      <c r="G274" s="931"/>
      <c r="H274" s="920">
        <f>50000-45000</f>
        <v>5000</v>
      </c>
      <c r="I274" s="920"/>
      <c r="J274" s="920"/>
      <c r="K274" s="920"/>
      <c r="L274" s="920">
        <f t="shared" si="60"/>
        <v>5000</v>
      </c>
      <c r="M274" s="931">
        <v>50000</v>
      </c>
      <c r="N274" s="931">
        <v>50000</v>
      </c>
      <c r="O274" s="756" t="s">
        <v>1206</v>
      </c>
      <c r="P274" s="924"/>
    </row>
    <row r="275" spans="1:17" ht="30" customHeight="1" x14ac:dyDescent="0.25">
      <c r="A275" s="18"/>
      <c r="B275" s="22"/>
      <c r="C275" s="37" t="s">
        <v>1076</v>
      </c>
      <c r="D275" s="128">
        <v>615311</v>
      </c>
      <c r="E275" s="933" t="s">
        <v>995</v>
      </c>
      <c r="F275" s="556"/>
      <c r="G275" s="556"/>
      <c r="H275" s="920"/>
      <c r="I275" s="105"/>
      <c r="J275" s="105"/>
      <c r="K275" s="96"/>
      <c r="L275" s="897">
        <f t="shared" si="60"/>
        <v>0</v>
      </c>
      <c r="M275" s="931"/>
      <c r="N275" s="931"/>
      <c r="O275" s="761" t="s">
        <v>895</v>
      </c>
      <c r="Q275" s="731" t="s">
        <v>896</v>
      </c>
    </row>
    <row r="276" spans="1:17" ht="45" x14ac:dyDescent="0.25">
      <c r="A276" s="869"/>
      <c r="B276" s="22"/>
      <c r="C276" s="52" t="s">
        <v>222</v>
      </c>
      <c r="D276" s="37">
        <v>615311</v>
      </c>
      <c r="E276" s="142" t="s">
        <v>1099</v>
      </c>
      <c r="F276" s="39"/>
      <c r="G276" s="39"/>
      <c r="H276" s="553">
        <v>10000</v>
      </c>
      <c r="I276" s="553"/>
      <c r="J276" s="553"/>
      <c r="K276" s="553"/>
      <c r="L276" s="553">
        <f>H276+I276+J276+K276</f>
        <v>10000</v>
      </c>
      <c r="M276" s="553">
        <v>10000</v>
      </c>
      <c r="N276" s="553">
        <v>10000</v>
      </c>
      <c r="O276" s="761" t="s">
        <v>1229</v>
      </c>
      <c r="P276" s="935"/>
    </row>
    <row r="277" spans="1:17" x14ac:dyDescent="0.25">
      <c r="A277" s="18"/>
      <c r="B277" s="22"/>
      <c r="C277" s="27"/>
      <c r="D277" s="143">
        <v>615000</v>
      </c>
      <c r="E277" s="144" t="s">
        <v>165</v>
      </c>
      <c r="F277" s="78">
        <f>F270+F269+F271+F272+F273+F275</f>
        <v>166406</v>
      </c>
      <c r="G277" s="78">
        <f>G270+G269+G271+G272+G273+G275+G276</f>
        <v>100000</v>
      </c>
      <c r="H277" s="78">
        <f>H270+H269+H271+H272+H273+H274+H275+H276</f>
        <v>45000</v>
      </c>
      <c r="I277" s="889">
        <f t="shared" ref="I277:K277" si="61">I270+I269+I271+I272+I273+I274+I275</f>
        <v>0</v>
      </c>
      <c r="J277" s="889">
        <f t="shared" si="61"/>
        <v>0</v>
      </c>
      <c r="K277" s="889">
        <f t="shared" si="61"/>
        <v>75000</v>
      </c>
      <c r="L277" s="889">
        <f>L270+L269+L271+L272+L273+L274+L275+L276</f>
        <v>120000</v>
      </c>
      <c r="M277" s="889">
        <f>M270+M269+M271+M272+M273+M274+M275+M276</f>
        <v>165000</v>
      </c>
      <c r="N277" s="889">
        <f>N270+N269+N271+N272+N273+N274+N275+N276</f>
        <v>165000</v>
      </c>
    </row>
    <row r="278" spans="1:17" ht="7.9" customHeight="1" x14ac:dyDescent="0.25">
      <c r="A278" s="18"/>
      <c r="B278" s="22"/>
      <c r="C278" s="573"/>
      <c r="D278" s="243"/>
      <c r="E278" s="573"/>
      <c r="F278" s="574"/>
      <c r="G278" s="574"/>
      <c r="H278" s="244"/>
      <c r="I278" s="244"/>
      <c r="J278" s="244"/>
      <c r="K278" s="244"/>
      <c r="L278" s="574"/>
      <c r="M278" s="574"/>
      <c r="N278" s="574"/>
    </row>
    <row r="279" spans="1:17" x14ac:dyDescent="0.25">
      <c r="A279" s="18"/>
      <c r="B279" s="22"/>
      <c r="C279" s="37" t="s">
        <v>237</v>
      </c>
      <c r="D279" s="37">
        <v>821300</v>
      </c>
      <c r="E279" s="38" t="s">
        <v>1088</v>
      </c>
      <c r="F279" s="117"/>
      <c r="G279" s="117">
        <v>3000</v>
      </c>
      <c r="H279" s="918">
        <f>3000+12000</f>
        <v>15000</v>
      </c>
      <c r="I279" s="62"/>
      <c r="J279" s="117"/>
      <c r="K279" s="117"/>
      <c r="L279" s="62">
        <f>H279+I279+J279+K279</f>
        <v>15000</v>
      </c>
      <c r="M279" s="117"/>
      <c r="N279" s="117"/>
      <c r="O279" s="756" t="s">
        <v>1207</v>
      </c>
    </row>
    <row r="280" spans="1:17" x14ac:dyDescent="0.25">
      <c r="A280" s="18"/>
      <c r="B280" s="22"/>
      <c r="C280" s="450" t="s">
        <v>215</v>
      </c>
      <c r="D280" s="450">
        <v>821594</v>
      </c>
      <c r="E280" s="451" t="s">
        <v>575</v>
      </c>
      <c r="F280" s="140"/>
      <c r="G280" s="140">
        <v>5000</v>
      </c>
      <c r="H280" s="453">
        <v>5000</v>
      </c>
      <c r="I280" s="453"/>
      <c r="J280" s="453"/>
      <c r="K280" s="453"/>
      <c r="L280" s="449">
        <f>H280+I280+J280+K280</f>
        <v>5000</v>
      </c>
      <c r="M280" s="117"/>
      <c r="N280" s="117"/>
    </row>
    <row r="281" spans="1:17" x14ac:dyDescent="0.25">
      <c r="A281" s="18"/>
      <c r="B281" s="22"/>
      <c r="C281" s="54"/>
      <c r="D281" s="27">
        <v>821000</v>
      </c>
      <c r="E281" s="55" t="s">
        <v>16</v>
      </c>
      <c r="F281" s="329">
        <f t="shared" ref="F281:G281" si="62">F279+F280</f>
        <v>0</v>
      </c>
      <c r="G281" s="329">
        <f t="shared" si="62"/>
        <v>8000</v>
      </c>
      <c r="H281" s="78">
        <f>SUM(H279:H280)</f>
        <v>20000</v>
      </c>
      <c r="I281" s="78"/>
      <c r="J281" s="78"/>
      <c r="K281" s="78">
        <f>K279+K280</f>
        <v>0</v>
      </c>
      <c r="L281" s="329">
        <f>L279+L280</f>
        <v>20000</v>
      </c>
      <c r="M281" s="329">
        <f t="shared" ref="M281:N281" si="63">M279+M280</f>
        <v>0</v>
      </c>
      <c r="N281" s="329">
        <f t="shared" si="63"/>
        <v>0</v>
      </c>
    </row>
    <row r="282" spans="1:17" ht="7.15" customHeight="1" x14ac:dyDescent="0.25">
      <c r="A282" s="18"/>
      <c r="B282" s="22"/>
      <c r="C282" s="80"/>
      <c r="D282" s="243"/>
      <c r="E282" s="373"/>
      <c r="F282" s="301"/>
      <c r="G282" s="301"/>
      <c r="H282" s="301"/>
      <c r="I282" s="301"/>
      <c r="J282" s="301"/>
      <c r="K282" s="301"/>
      <c r="L282" s="301"/>
      <c r="M282" s="301"/>
      <c r="N282" s="301"/>
    </row>
    <row r="283" spans="1:17" x14ac:dyDescent="0.25">
      <c r="A283" s="18"/>
      <c r="B283" s="22"/>
      <c r="C283" s="30"/>
      <c r="D283" s="29"/>
      <c r="E283" s="91" t="s">
        <v>661</v>
      </c>
      <c r="F283" s="78">
        <f t="shared" ref="F283:N283" si="64">F149+F151+F152+F170+F267+F277+F281</f>
        <v>3902009</v>
      </c>
      <c r="G283" s="78">
        <f t="shared" si="64"/>
        <v>4194452</v>
      </c>
      <c r="H283" s="78">
        <f t="shared" si="64"/>
        <v>4158705.5999999996</v>
      </c>
      <c r="I283" s="78">
        <f t="shared" si="64"/>
        <v>0</v>
      </c>
      <c r="J283" s="78">
        <f t="shared" si="64"/>
        <v>0</v>
      </c>
      <c r="K283" s="78">
        <f t="shared" si="64"/>
        <v>190000</v>
      </c>
      <c r="L283" s="78">
        <f t="shared" si="64"/>
        <v>4348705.5999999996</v>
      </c>
      <c r="M283" s="78">
        <f t="shared" si="64"/>
        <v>4469810</v>
      </c>
      <c r="N283" s="78">
        <f t="shared" si="64"/>
        <v>4476810</v>
      </c>
      <c r="O283" s="756" t="e">
        <f>L283+#REF!</f>
        <v>#REF!</v>
      </c>
    </row>
    <row r="284" spans="1:17" ht="9" customHeight="1" x14ac:dyDescent="0.25"/>
    <row r="285" spans="1:17" ht="35.25" customHeight="1" x14ac:dyDescent="0.25">
      <c r="A285" s="17"/>
      <c r="B285" s="295">
        <v>1105</v>
      </c>
      <c r="C285" s="32"/>
      <c r="D285" s="66"/>
      <c r="E285" s="75" t="s">
        <v>1002</v>
      </c>
      <c r="F285" s="318"/>
      <c r="G285" s="318"/>
      <c r="H285" s="33"/>
      <c r="I285" s="318"/>
      <c r="J285" s="600"/>
      <c r="K285" s="318"/>
      <c r="L285" s="318"/>
      <c r="M285" s="318"/>
      <c r="N285" s="318"/>
    </row>
    <row r="286" spans="1:17" ht="8.4499999999999993" customHeight="1" x14ac:dyDescent="0.25">
      <c r="A286" s="18"/>
      <c r="B286" s="22"/>
      <c r="C286" s="32"/>
      <c r="D286" s="66"/>
      <c r="E286" s="32"/>
      <c r="F286" s="73"/>
      <c r="G286" s="73"/>
      <c r="H286" s="120"/>
      <c r="I286" s="120"/>
      <c r="J286" s="368"/>
      <c r="K286" s="120"/>
      <c r="L286" s="73"/>
      <c r="M286" s="73"/>
      <c r="N286" s="73"/>
    </row>
    <row r="287" spans="1:17" ht="32.25" customHeight="1" x14ac:dyDescent="0.25">
      <c r="A287" s="18"/>
      <c r="B287" s="22"/>
      <c r="C287" s="37" t="s">
        <v>215</v>
      </c>
      <c r="D287" s="37">
        <v>611100</v>
      </c>
      <c r="E287" s="44" t="s">
        <v>1216</v>
      </c>
      <c r="F287" s="39">
        <v>247001</v>
      </c>
      <c r="G287" s="39">
        <v>302846</v>
      </c>
      <c r="H287" s="62">
        <f>(3081+2562+9+2245+7+2275+8+2044+7+1330+5+1472+5)*12+(21635)/2+1+3581</f>
        <v>194999.5</v>
      </c>
      <c r="I287" s="39"/>
      <c r="J287" s="62"/>
      <c r="K287" s="39"/>
      <c r="L287" s="62">
        <f>H287+I287+J287+K287</f>
        <v>194999.5</v>
      </c>
      <c r="M287" s="39">
        <v>220000</v>
      </c>
      <c r="N287" s="39">
        <v>225000</v>
      </c>
      <c r="O287" s="756">
        <f xml:space="preserve"> (3080.48+2431.96+2735.17+2215.78*3)*12</f>
        <v>178739.40000000002</v>
      </c>
      <c r="P287" s="1011">
        <f>+(2216+2216)*6</f>
        <v>26592</v>
      </c>
    </row>
    <row r="288" spans="1:17" x14ac:dyDescent="0.25">
      <c r="A288" s="18"/>
      <c r="B288" s="22"/>
      <c r="C288" s="37" t="s">
        <v>215</v>
      </c>
      <c r="D288" s="37">
        <v>611200</v>
      </c>
      <c r="E288" s="38" t="s">
        <v>12</v>
      </c>
      <c r="F288" s="39">
        <v>27876</v>
      </c>
      <c r="G288" s="39">
        <v>32802</v>
      </c>
      <c r="H288" s="300">
        <f>(8*22*9.3)*11+(8*450)+(390*11)-895</f>
        <v>24999.800000000003</v>
      </c>
      <c r="I288" s="45"/>
      <c r="J288" s="47"/>
      <c r="K288" s="45"/>
      <c r="L288" s="62">
        <f>H288+I288+J288+K288</f>
        <v>24999.800000000003</v>
      </c>
      <c r="M288" s="39">
        <f>36000+22500</f>
        <v>58500</v>
      </c>
      <c r="N288" s="39">
        <f>36000+22500</f>
        <v>58500</v>
      </c>
    </row>
    <row r="289" spans="1:16" x14ac:dyDescent="0.25">
      <c r="A289" s="18"/>
      <c r="B289" s="22"/>
      <c r="C289" s="37"/>
      <c r="D289" s="37"/>
      <c r="E289" s="49" t="s">
        <v>47</v>
      </c>
      <c r="F289" s="45"/>
      <c r="G289" s="45"/>
      <c r="H289" s="45">
        <f>7500-7500</f>
        <v>0</v>
      </c>
      <c r="I289" s="45"/>
      <c r="J289" s="47"/>
      <c r="K289" s="45"/>
      <c r="L289" s="62">
        <f>H289+I289+J289+K289</f>
        <v>0</v>
      </c>
      <c r="M289" s="45"/>
      <c r="N289" s="45"/>
    </row>
    <row r="290" spans="1:16" x14ac:dyDescent="0.25">
      <c r="A290" s="18"/>
      <c r="B290" s="22"/>
      <c r="C290" s="54" t="s">
        <v>219</v>
      </c>
      <c r="D290" s="27">
        <v>611000</v>
      </c>
      <c r="E290" s="55" t="s">
        <v>13</v>
      </c>
      <c r="F290" s="56">
        <f t="shared" ref="F290:G290" si="65">F287+F288</f>
        <v>274877</v>
      </c>
      <c r="G290" s="56">
        <f t="shared" si="65"/>
        <v>335648</v>
      </c>
      <c r="H290" s="78">
        <f>H287+H288</f>
        <v>219999.3</v>
      </c>
      <c r="I290" s="78">
        <f>I287+I288</f>
        <v>0</v>
      </c>
      <c r="J290" s="329">
        <f>J287+J288</f>
        <v>0</v>
      </c>
      <c r="K290" s="78">
        <f>K287+K288</f>
        <v>0</v>
      </c>
      <c r="L290" s="78">
        <f>L287+L288</f>
        <v>219999.3</v>
      </c>
      <c r="M290" s="56">
        <f t="shared" ref="M290:N290" si="66">M287+M288</f>
        <v>278500</v>
      </c>
      <c r="N290" s="56">
        <f t="shared" si="66"/>
        <v>283500</v>
      </c>
    </row>
    <row r="291" spans="1:16" ht="10.5" customHeight="1" x14ac:dyDescent="0.25">
      <c r="A291" s="18"/>
      <c r="B291" s="22"/>
      <c r="C291" s="29"/>
      <c r="D291" s="29"/>
      <c r="E291" s="30"/>
      <c r="F291" s="90"/>
      <c r="G291" s="90"/>
      <c r="H291" s="120"/>
      <c r="I291" s="120"/>
      <c r="J291" s="368"/>
      <c r="K291" s="120"/>
      <c r="L291" s="62"/>
      <c r="M291" s="90"/>
      <c r="N291" s="90"/>
    </row>
    <row r="292" spans="1:16" x14ac:dyDescent="0.25">
      <c r="A292" s="18"/>
      <c r="B292" s="22"/>
      <c r="C292" s="54" t="s">
        <v>215</v>
      </c>
      <c r="D292" s="27">
        <v>612111</v>
      </c>
      <c r="E292" s="55" t="s">
        <v>14</v>
      </c>
      <c r="F292" s="78">
        <v>26141</v>
      </c>
      <c r="G292" s="78">
        <v>33245</v>
      </c>
      <c r="H292" s="78">
        <f>(323.45+255.36+287.19+232.66*3)*12+(233+233)*6+63+73</f>
        <v>21699.760000000002</v>
      </c>
      <c r="I292" s="78"/>
      <c r="J292" s="329"/>
      <c r="K292" s="78"/>
      <c r="L292" s="78">
        <f>H292+I292+J292+K292</f>
        <v>21699.760000000002</v>
      </c>
      <c r="M292" s="78">
        <v>25000</v>
      </c>
      <c r="N292" s="78">
        <v>27000</v>
      </c>
      <c r="O292" s="756">
        <f>216150*10.5/100</f>
        <v>22695.75</v>
      </c>
      <c r="P292" s="755">
        <f>195000*10.5/100</f>
        <v>20475</v>
      </c>
    </row>
    <row r="293" spans="1:16" ht="11.25" customHeight="1" x14ac:dyDescent="0.25">
      <c r="A293" s="18"/>
      <c r="B293" s="22"/>
      <c r="C293" s="29"/>
      <c r="D293" s="29"/>
      <c r="E293" s="30"/>
      <c r="F293" s="90"/>
      <c r="G293" s="90"/>
      <c r="H293" s="120"/>
      <c r="I293" s="120"/>
      <c r="J293" s="368"/>
      <c r="K293" s="120"/>
      <c r="L293" s="62"/>
      <c r="M293" s="90"/>
      <c r="N293" s="90"/>
    </row>
    <row r="294" spans="1:16" x14ac:dyDescent="0.25">
      <c r="A294" s="18"/>
      <c r="B294" s="22"/>
      <c r="C294" s="37" t="s">
        <v>215</v>
      </c>
      <c r="D294" s="37">
        <v>613100</v>
      </c>
      <c r="E294" s="38" t="s">
        <v>93</v>
      </c>
      <c r="F294" s="39">
        <v>88</v>
      </c>
      <c r="G294" s="39">
        <v>1200</v>
      </c>
      <c r="H294" s="62">
        <f>1200+1800</f>
        <v>3000</v>
      </c>
      <c r="I294" s="39"/>
      <c r="J294" s="62"/>
      <c r="K294" s="39"/>
      <c r="L294" s="62">
        <f t="shared" ref="L294:L299" si="67">H294+I294+J294+K294</f>
        <v>3000</v>
      </c>
      <c r="M294" s="39">
        <v>1200</v>
      </c>
      <c r="N294" s="39">
        <v>1200</v>
      </c>
      <c r="O294" s="756" t="s">
        <v>1138</v>
      </c>
    </row>
    <row r="295" spans="1:16" x14ac:dyDescent="0.25">
      <c r="A295" s="18"/>
      <c r="B295" s="22"/>
      <c r="C295" s="106" t="s">
        <v>215</v>
      </c>
      <c r="D295" s="106">
        <v>613300</v>
      </c>
      <c r="E295" s="118" t="s">
        <v>114</v>
      </c>
      <c r="F295" s="83">
        <f>F296</f>
        <v>2393</v>
      </c>
      <c r="G295" s="83">
        <f>G296</f>
        <v>3700</v>
      </c>
      <c r="H295" s="40">
        <f>H296+H731</f>
        <v>3460</v>
      </c>
      <c r="I295" s="40">
        <f>I296+I731</f>
        <v>0</v>
      </c>
      <c r="J295" s="301">
        <f>J296</f>
        <v>0</v>
      </c>
      <c r="K295" s="40">
        <f>K296+K731</f>
        <v>0</v>
      </c>
      <c r="L295" s="301">
        <f t="shared" si="67"/>
        <v>3460</v>
      </c>
      <c r="M295" s="83">
        <f>M296</f>
        <v>3460</v>
      </c>
      <c r="N295" s="83">
        <f>N296</f>
        <v>3460</v>
      </c>
    </row>
    <row r="296" spans="1:16" x14ac:dyDescent="0.25">
      <c r="A296" s="18"/>
      <c r="B296" s="22"/>
      <c r="C296" s="37" t="s">
        <v>215</v>
      </c>
      <c r="D296" s="52">
        <v>613310</v>
      </c>
      <c r="E296" s="49" t="s">
        <v>125</v>
      </c>
      <c r="F296" s="39">
        <f t="shared" ref="F296" si="68">F297+F298</f>
        <v>2393</v>
      </c>
      <c r="G296" s="39">
        <f t="shared" ref="G296:J296" si="69">G297+G298</f>
        <v>3700</v>
      </c>
      <c r="H296" s="39">
        <f t="shared" si="69"/>
        <v>3460</v>
      </c>
      <c r="I296" s="39">
        <f t="shared" si="69"/>
        <v>0</v>
      </c>
      <c r="J296" s="62">
        <f t="shared" si="69"/>
        <v>0</v>
      </c>
      <c r="K296" s="39">
        <f>K297</f>
        <v>0</v>
      </c>
      <c r="L296" s="62">
        <f t="shared" si="67"/>
        <v>3460</v>
      </c>
      <c r="M296" s="39">
        <f>M297+M298</f>
        <v>3460</v>
      </c>
      <c r="N296" s="39">
        <f>N297+N298</f>
        <v>3460</v>
      </c>
    </row>
    <row r="297" spans="1:16" x14ac:dyDescent="0.25">
      <c r="A297" s="18"/>
      <c r="B297" s="22"/>
      <c r="C297" s="37" t="s">
        <v>215</v>
      </c>
      <c r="D297" s="52">
        <v>613311</v>
      </c>
      <c r="E297" s="444" t="s">
        <v>361</v>
      </c>
      <c r="F297" s="39">
        <v>1465</v>
      </c>
      <c r="G297" s="39">
        <v>2500</v>
      </c>
      <c r="H297" s="47">
        <f>2500</f>
        <v>2500</v>
      </c>
      <c r="I297" s="45"/>
      <c r="J297" s="47"/>
      <c r="K297" s="45"/>
      <c r="L297" s="62">
        <f t="shared" si="67"/>
        <v>2500</v>
      </c>
      <c r="M297" s="39">
        <v>2500</v>
      </c>
      <c r="N297" s="39">
        <v>2500</v>
      </c>
    </row>
    <row r="298" spans="1:16" x14ac:dyDescent="0.25">
      <c r="A298" s="18"/>
      <c r="B298" s="22"/>
      <c r="C298" s="37"/>
      <c r="D298" s="52">
        <v>613313</v>
      </c>
      <c r="E298" s="444" t="s">
        <v>343</v>
      </c>
      <c r="F298" s="39">
        <v>928</v>
      </c>
      <c r="G298" s="39">
        <v>1200</v>
      </c>
      <c r="H298" s="47">
        <f>(50*12)+(30*12)</f>
        <v>960</v>
      </c>
      <c r="I298" s="45"/>
      <c r="J298" s="47"/>
      <c r="K298" s="45"/>
      <c r="L298" s="39">
        <f t="shared" si="67"/>
        <v>960</v>
      </c>
      <c r="M298" s="39">
        <v>960</v>
      </c>
      <c r="N298" s="39">
        <v>960</v>
      </c>
    </row>
    <row r="299" spans="1:16" ht="33.75" customHeight="1" x14ac:dyDescent="0.25">
      <c r="A299" s="18"/>
      <c r="B299" s="22"/>
      <c r="C299" s="37" t="s">
        <v>215</v>
      </c>
      <c r="D299" s="37">
        <v>613400</v>
      </c>
      <c r="E299" s="245" t="s">
        <v>374</v>
      </c>
      <c r="F299" s="45">
        <v>1970</v>
      </c>
      <c r="G299" s="45">
        <f>5000</f>
        <v>5000</v>
      </c>
      <c r="H299" s="47">
        <f>5000+H738</f>
        <v>5000</v>
      </c>
      <c r="I299" s="45"/>
      <c r="J299" s="47"/>
      <c r="K299" s="45"/>
      <c r="L299" s="62">
        <f t="shared" si="67"/>
        <v>5000</v>
      </c>
      <c r="M299" s="911">
        <v>5000</v>
      </c>
      <c r="N299" s="911">
        <v>5000</v>
      </c>
      <c r="O299" s="756" t="s">
        <v>1134</v>
      </c>
    </row>
    <row r="300" spans="1:16" x14ac:dyDescent="0.25">
      <c r="A300" s="18"/>
      <c r="B300" s="22"/>
      <c r="C300" s="37" t="s">
        <v>215</v>
      </c>
      <c r="D300" s="37">
        <v>613900</v>
      </c>
      <c r="E300" s="38" t="s">
        <v>7</v>
      </c>
      <c r="F300" s="301">
        <f>F301+F302+F749+F750</f>
        <v>0</v>
      </c>
      <c r="G300" s="301">
        <f>G301+G302</f>
        <v>1900</v>
      </c>
      <c r="H300" s="46">
        <f>H301+H302+H303</f>
        <v>9000</v>
      </c>
      <c r="I300" s="46">
        <f>I301+I302+I749+I750</f>
        <v>0</v>
      </c>
      <c r="J300" s="46">
        <f>J301+J302+J749+J750</f>
        <v>0</v>
      </c>
      <c r="K300" s="46">
        <f>K301+K302+K749+K750</f>
        <v>0</v>
      </c>
      <c r="L300" s="301">
        <f t="shared" ref="L300:L303" si="70">H300+I300+J300+K300</f>
        <v>9000</v>
      </c>
      <c r="M300" s="301">
        <f>M301+M302+M303</f>
        <v>1900</v>
      </c>
      <c r="N300" s="910">
        <f>N301+N302+N303</f>
        <v>1900</v>
      </c>
    </row>
    <row r="301" spans="1:16" x14ac:dyDescent="0.25">
      <c r="A301" s="18"/>
      <c r="B301" s="22"/>
      <c r="C301" s="37" t="s">
        <v>215</v>
      </c>
      <c r="D301" s="37">
        <v>613914</v>
      </c>
      <c r="E301" s="444" t="s">
        <v>609</v>
      </c>
      <c r="F301" s="47"/>
      <c r="G301" s="47">
        <v>1000</v>
      </c>
      <c r="H301" s="48">
        <v>1000</v>
      </c>
      <c r="I301" s="46"/>
      <c r="J301" s="567"/>
      <c r="K301" s="46"/>
      <c r="L301" s="62">
        <f t="shared" si="70"/>
        <v>1000</v>
      </c>
      <c r="M301" s="47">
        <v>1000</v>
      </c>
      <c r="N301" s="47">
        <v>1000</v>
      </c>
    </row>
    <row r="302" spans="1:16" ht="30.75" x14ac:dyDescent="0.25">
      <c r="A302" s="18"/>
      <c r="B302" s="22"/>
      <c r="C302" s="37" t="s">
        <v>215</v>
      </c>
      <c r="D302" s="37">
        <v>613920</v>
      </c>
      <c r="E302" s="86" t="s">
        <v>202</v>
      </c>
      <c r="F302" s="45"/>
      <c r="G302" s="45">
        <f>1000-100</f>
        <v>900</v>
      </c>
      <c r="H302" s="47">
        <f>900+1100</f>
        <v>2000</v>
      </c>
      <c r="I302" s="45"/>
      <c r="J302" s="47"/>
      <c r="K302" s="45"/>
      <c r="L302" s="62">
        <f t="shared" si="70"/>
        <v>2000</v>
      </c>
      <c r="M302" s="45">
        <f>1000-100</f>
        <v>900</v>
      </c>
      <c r="N302" s="45">
        <f>1000-100</f>
        <v>900</v>
      </c>
    </row>
    <row r="303" spans="1:16" x14ac:dyDescent="0.25">
      <c r="A303" s="869"/>
      <c r="B303" s="22"/>
      <c r="C303" s="874"/>
      <c r="D303" s="874">
        <v>613900</v>
      </c>
      <c r="E303" s="892" t="s">
        <v>1143</v>
      </c>
      <c r="F303" s="878"/>
      <c r="G303" s="878"/>
      <c r="H303" s="879">
        <v>6000</v>
      </c>
      <c r="I303" s="878"/>
      <c r="J303" s="879"/>
      <c r="K303" s="878"/>
      <c r="L303" s="885">
        <f t="shared" si="70"/>
        <v>6000</v>
      </c>
      <c r="M303" s="878"/>
      <c r="N303" s="878"/>
      <c r="P303" s="984"/>
    </row>
    <row r="304" spans="1:16" x14ac:dyDescent="0.25">
      <c r="A304" s="18"/>
      <c r="B304" s="22"/>
      <c r="C304" s="27"/>
      <c r="D304" s="27">
        <v>613000</v>
      </c>
      <c r="E304" s="55" t="s">
        <v>15</v>
      </c>
      <c r="F304" s="496">
        <f>F294+F295+F299+F300</f>
        <v>4451</v>
      </c>
      <c r="G304" s="496">
        <f t="shared" ref="G304:N304" si="71">G294+G295+G299+G300</f>
        <v>11800</v>
      </c>
      <c r="H304" s="496">
        <f t="shared" si="71"/>
        <v>20460</v>
      </c>
      <c r="I304" s="496">
        <f t="shared" si="71"/>
        <v>0</v>
      </c>
      <c r="J304" s="496">
        <f t="shared" si="71"/>
        <v>0</v>
      </c>
      <c r="K304" s="496">
        <f t="shared" si="71"/>
        <v>0</v>
      </c>
      <c r="L304" s="496">
        <f t="shared" si="71"/>
        <v>20460</v>
      </c>
      <c r="M304" s="496">
        <f t="shared" si="71"/>
        <v>11560</v>
      </c>
      <c r="N304" s="496">
        <f t="shared" si="71"/>
        <v>11560</v>
      </c>
    </row>
    <row r="306" spans="1:17" ht="33" customHeight="1" x14ac:dyDescent="0.25">
      <c r="A306" s="18"/>
      <c r="B306" s="22"/>
      <c r="C306" s="100" t="s">
        <v>220</v>
      </c>
      <c r="D306" s="100">
        <v>614311</v>
      </c>
      <c r="E306" s="632" t="s">
        <v>640</v>
      </c>
      <c r="F306" s="62">
        <v>97020</v>
      </c>
      <c r="G306" s="62">
        <v>97020</v>
      </c>
      <c r="H306" s="62">
        <f>300*33*12-21780</f>
        <v>97020</v>
      </c>
      <c r="I306" s="62"/>
      <c r="J306" s="62"/>
      <c r="K306" s="62"/>
      <c r="L306" s="62">
        <f>H306+I306+J306+K306</f>
        <v>97020</v>
      </c>
      <c r="M306" s="62">
        <f>97120</f>
        <v>97120</v>
      </c>
      <c r="N306" s="62">
        <f>97120</f>
        <v>97120</v>
      </c>
    </row>
    <row r="307" spans="1:17" ht="30" x14ac:dyDescent="0.25">
      <c r="A307" s="18"/>
      <c r="B307" s="22"/>
      <c r="C307" s="100" t="s">
        <v>220</v>
      </c>
      <c r="D307" s="100">
        <v>614311</v>
      </c>
      <c r="E307" s="632" t="s">
        <v>543</v>
      </c>
      <c r="F307" s="62">
        <v>18312</v>
      </c>
      <c r="G307" s="62">
        <v>18360</v>
      </c>
      <c r="H307" s="47">
        <f>18360</f>
        <v>18360</v>
      </c>
      <c r="I307" s="47"/>
      <c r="J307" s="47"/>
      <c r="K307" s="47"/>
      <c r="L307" s="62">
        <f>H307+I307+J307+K307</f>
        <v>18360</v>
      </c>
      <c r="M307" s="62">
        <v>20000</v>
      </c>
      <c r="N307" s="62">
        <v>20000</v>
      </c>
    </row>
    <row r="308" spans="1:17" ht="30.75" x14ac:dyDescent="0.25">
      <c r="C308" s="100" t="s">
        <v>215</v>
      </c>
      <c r="D308" s="100">
        <v>614811</v>
      </c>
      <c r="E308" s="245" t="s">
        <v>339</v>
      </c>
      <c r="F308" s="110"/>
      <c r="G308" s="110">
        <v>1000</v>
      </c>
      <c r="H308" s="62">
        <v>1000</v>
      </c>
      <c r="I308" s="62"/>
      <c r="J308" s="62"/>
      <c r="K308" s="62"/>
      <c r="L308" s="62">
        <f>H308+I308+J308+K308</f>
        <v>1000</v>
      </c>
      <c r="M308" s="110">
        <v>1000</v>
      </c>
      <c r="N308" s="110">
        <v>1000</v>
      </c>
    </row>
    <row r="309" spans="1:17" x14ac:dyDescent="0.25">
      <c r="C309" s="54"/>
      <c r="D309" s="27">
        <v>614000</v>
      </c>
      <c r="E309" s="55" t="s">
        <v>23</v>
      </c>
      <c r="F309" s="94">
        <f>F306+F307+F308</f>
        <v>115332</v>
      </c>
      <c r="G309" s="94">
        <f>G306+G307+G308</f>
        <v>116380</v>
      </c>
      <c r="H309" s="896">
        <f t="shared" ref="H309:N309" si="72">H306+H307+H308</f>
        <v>116380</v>
      </c>
      <c r="I309" s="896">
        <f t="shared" si="72"/>
        <v>0</v>
      </c>
      <c r="J309" s="896">
        <f t="shared" si="72"/>
        <v>0</v>
      </c>
      <c r="K309" s="896">
        <f t="shared" si="72"/>
        <v>0</v>
      </c>
      <c r="L309" s="896">
        <f t="shared" si="72"/>
        <v>116380</v>
      </c>
      <c r="M309" s="896">
        <f t="shared" si="72"/>
        <v>118120</v>
      </c>
      <c r="N309" s="896">
        <f t="shared" si="72"/>
        <v>118120</v>
      </c>
    </row>
    <row r="310" spans="1:17" x14ac:dyDescent="0.25">
      <c r="C310" s="100"/>
      <c r="D310" s="684"/>
      <c r="E310" s="373"/>
      <c r="F310" s="685"/>
      <c r="G310" s="685"/>
      <c r="H310" s="685"/>
      <c r="I310" s="685"/>
      <c r="J310" s="685"/>
      <c r="K310" s="685"/>
      <c r="L310" s="685"/>
      <c r="M310" s="685"/>
      <c r="N310" s="685"/>
    </row>
    <row r="311" spans="1:17" ht="45" x14ac:dyDescent="0.25">
      <c r="A311" s="18"/>
      <c r="B311" s="22"/>
      <c r="C311" s="128" t="s">
        <v>230</v>
      </c>
      <c r="D311" s="128">
        <v>615211</v>
      </c>
      <c r="E311" s="133" t="s">
        <v>296</v>
      </c>
      <c r="F311" s="39">
        <v>1200</v>
      </c>
      <c r="G311" s="39">
        <v>20000</v>
      </c>
      <c r="H311" s="39">
        <f>H314+H312+H313</f>
        <v>40000</v>
      </c>
      <c r="I311" s="39"/>
      <c r="J311" s="62">
        <f>30000-10000-20000</f>
        <v>0</v>
      </c>
      <c r="K311" s="39"/>
      <c r="L311" s="39">
        <f>H311+I311+J311+K311</f>
        <v>40000</v>
      </c>
      <c r="M311" s="39">
        <v>20000</v>
      </c>
      <c r="N311" s="39">
        <v>20000</v>
      </c>
    </row>
    <row r="312" spans="1:17" ht="45" x14ac:dyDescent="0.25">
      <c r="A312" s="869"/>
      <c r="B312" s="22"/>
      <c r="C312" s="128"/>
      <c r="D312" s="128"/>
      <c r="E312" s="693" t="s">
        <v>1144</v>
      </c>
      <c r="F312" s="613"/>
      <c r="G312" s="613"/>
      <c r="H312" s="615">
        <v>20000</v>
      </c>
      <c r="I312" s="615"/>
      <c r="J312" s="615"/>
      <c r="K312" s="615"/>
      <c r="L312" s="613">
        <f t="shared" ref="L312:L313" si="73">H312+I312+J312+K312</f>
        <v>20000</v>
      </c>
      <c r="M312" s="613"/>
      <c r="N312" s="613"/>
      <c r="P312" s="984"/>
    </row>
    <row r="313" spans="1:17" x14ac:dyDescent="0.25">
      <c r="A313" s="869"/>
      <c r="B313" s="22"/>
      <c r="C313" s="128"/>
      <c r="D313" s="128"/>
      <c r="E313" s="693" t="s">
        <v>1145</v>
      </c>
      <c r="F313" s="613"/>
      <c r="G313" s="613"/>
      <c r="H313" s="615">
        <v>20000</v>
      </c>
      <c r="I313" s="615"/>
      <c r="J313" s="615"/>
      <c r="K313" s="615"/>
      <c r="L313" s="613">
        <f t="shared" si="73"/>
        <v>20000</v>
      </c>
      <c r="M313" s="613"/>
      <c r="N313" s="613"/>
      <c r="P313" s="984"/>
    </row>
    <row r="314" spans="1:17" x14ac:dyDescent="0.25">
      <c r="A314" s="869"/>
      <c r="B314" s="22"/>
      <c r="C314" s="128"/>
      <c r="D314" s="128"/>
      <c r="E314" s="693" t="s">
        <v>619</v>
      </c>
      <c r="F314" s="613"/>
      <c r="G314" s="613">
        <v>14742</v>
      </c>
      <c r="H314" s="615"/>
      <c r="I314" s="615"/>
      <c r="J314" s="615"/>
      <c r="K314" s="615"/>
      <c r="L314" s="613">
        <f>H314+I314+J314+K314</f>
        <v>0</v>
      </c>
      <c r="M314" s="613"/>
      <c r="N314" s="613"/>
      <c r="P314" s="1009"/>
    </row>
    <row r="315" spans="1:17" ht="60" x14ac:dyDescent="0.25">
      <c r="A315" s="18"/>
      <c r="B315" s="22"/>
      <c r="C315" s="109" t="s">
        <v>230</v>
      </c>
      <c r="D315" s="109">
        <v>615211</v>
      </c>
      <c r="E315" s="139" t="s">
        <v>689</v>
      </c>
      <c r="F315" s="39">
        <v>48755</v>
      </c>
      <c r="G315" s="39">
        <f>60000-30000</f>
        <v>30000</v>
      </c>
      <c r="H315" s="45">
        <v>30000</v>
      </c>
      <c r="I315" s="45"/>
      <c r="J315" s="47">
        <f>60000-30000-30000</f>
        <v>0</v>
      </c>
      <c r="K315" s="45"/>
      <c r="L315" s="39">
        <f>H315+I315+J315+K315</f>
        <v>30000</v>
      </c>
      <c r="M315" s="39">
        <f>60000-30000</f>
        <v>30000</v>
      </c>
      <c r="N315" s="39">
        <f>60000-30000</f>
        <v>30000</v>
      </c>
    </row>
    <row r="316" spans="1:17" s="738" customFormat="1" ht="23.25" customHeight="1" x14ac:dyDescent="0.25">
      <c r="A316" s="18"/>
      <c r="B316" s="735"/>
      <c r="C316" s="37" t="s">
        <v>231</v>
      </c>
      <c r="D316" s="37">
        <v>615311</v>
      </c>
      <c r="E316" s="739" t="s">
        <v>894</v>
      </c>
      <c r="F316" s="48">
        <f>F317+F321+F325+F329+F334+F338+F341</f>
        <v>342496</v>
      </c>
      <c r="G316" s="48">
        <f>G317+G321+G325+G329+G334+G338+G341</f>
        <v>482913</v>
      </c>
      <c r="H316" s="736">
        <f>H317+H321+H325+H329+H334+H341</f>
        <v>0</v>
      </c>
      <c r="I316" s="736">
        <f>I317+I321+I325+I329+I334+I341</f>
        <v>0</v>
      </c>
      <c r="J316" s="736">
        <f>J317+J321+J325+J329+J334+J338+J341</f>
        <v>618716</v>
      </c>
      <c r="K316" s="736">
        <f>K317+K321+K325+K329+K334+K338+K341</f>
        <v>20000</v>
      </c>
      <c r="L316" s="736">
        <f>L317+L321+L325+L329+L334+L338+L341</f>
        <v>638716</v>
      </c>
      <c r="M316" s="48">
        <f>M317+M321+M325+M329+M334+M338+M341</f>
        <v>370000</v>
      </c>
      <c r="N316" s="48">
        <f>N317+N321+N325+N329+N334+N338+N341</f>
        <v>370000</v>
      </c>
      <c r="O316" s="766"/>
      <c r="P316" s="755"/>
      <c r="Q316" s="737"/>
    </row>
    <row r="317" spans="1:17" x14ac:dyDescent="0.25">
      <c r="A317" s="18"/>
      <c r="B317" s="22"/>
      <c r="C317" s="128" t="s">
        <v>231</v>
      </c>
      <c r="D317" s="128">
        <v>615311</v>
      </c>
      <c r="E317" s="101" t="s">
        <v>690</v>
      </c>
      <c r="F317" s="117">
        <v>63941</v>
      </c>
      <c r="G317" s="117">
        <v>10000</v>
      </c>
      <c r="H317" s="48"/>
      <c r="I317" s="48"/>
      <c r="J317" s="300">
        <f>J319+J320</f>
        <v>17000</v>
      </c>
      <c r="K317" s="48"/>
      <c r="L317" s="62">
        <f t="shared" ref="L317:L328" si="74">H317+I317+J317+K317</f>
        <v>17000</v>
      </c>
      <c r="M317" s="117">
        <v>5000</v>
      </c>
      <c r="N317" s="117">
        <v>5000</v>
      </c>
    </row>
    <row r="318" spans="1:17" ht="30.75" x14ac:dyDescent="0.25">
      <c r="A318" s="18"/>
      <c r="B318" s="22"/>
      <c r="C318" s="128"/>
      <c r="D318" s="128"/>
      <c r="E318" s="609" t="s">
        <v>475</v>
      </c>
      <c r="F318" s="610"/>
      <c r="G318" s="610">
        <v>2741</v>
      </c>
      <c r="H318" s="613"/>
      <c r="I318" s="611"/>
      <c r="J318" s="612"/>
      <c r="K318" s="611"/>
      <c r="L318" s="613">
        <f t="shared" si="74"/>
        <v>0</v>
      </c>
      <c r="M318" s="610"/>
      <c r="N318" s="610"/>
    </row>
    <row r="319" spans="1:17" ht="30" x14ac:dyDescent="0.25">
      <c r="A319" s="869"/>
      <c r="B319" s="22"/>
      <c r="C319" s="128"/>
      <c r="D319" s="128"/>
      <c r="E319" s="693" t="s">
        <v>1146</v>
      </c>
      <c r="F319" s="610"/>
      <c r="G319" s="610"/>
      <c r="H319" s="611"/>
      <c r="I319" s="611"/>
      <c r="J319" s="612">
        <v>5000</v>
      </c>
      <c r="K319" s="611"/>
      <c r="L319" s="613">
        <f t="shared" si="74"/>
        <v>5000</v>
      </c>
      <c r="M319" s="610"/>
      <c r="N319" s="610"/>
      <c r="P319" s="982"/>
    </row>
    <row r="320" spans="1:17" x14ac:dyDescent="0.25">
      <c r="A320" s="18"/>
      <c r="B320" s="22"/>
      <c r="C320" s="128"/>
      <c r="D320" s="128"/>
      <c r="E320" s="101" t="s">
        <v>542</v>
      </c>
      <c r="F320" s="117"/>
      <c r="G320" s="117">
        <v>7259</v>
      </c>
      <c r="H320" s="300"/>
      <c r="I320" s="300"/>
      <c r="J320" s="349">
        <v>12000</v>
      </c>
      <c r="K320" s="300"/>
      <c r="L320" s="62">
        <f t="shared" si="74"/>
        <v>12000</v>
      </c>
      <c r="M320" s="117">
        <v>5000</v>
      </c>
      <c r="N320" s="117">
        <v>5000</v>
      </c>
    </row>
    <row r="321" spans="1:16" x14ac:dyDescent="0.25">
      <c r="A321" s="18"/>
      <c r="B321" s="22"/>
      <c r="C321" s="128" t="s">
        <v>231</v>
      </c>
      <c r="D321" s="128">
        <v>615311</v>
      </c>
      <c r="E321" s="101" t="s">
        <v>691</v>
      </c>
      <c r="F321" s="117">
        <v>64205</v>
      </c>
      <c r="G321" s="117">
        <v>28580</v>
      </c>
      <c r="H321" s="48"/>
      <c r="I321" s="48"/>
      <c r="J321" s="300">
        <f>J322+J323</f>
        <v>35000</v>
      </c>
      <c r="K321" s="48"/>
      <c r="L321" s="62">
        <f t="shared" si="74"/>
        <v>35000</v>
      </c>
      <c r="M321" s="117">
        <f>50000-30000</f>
        <v>20000</v>
      </c>
      <c r="N321" s="117">
        <f>50000-30000</f>
        <v>20000</v>
      </c>
    </row>
    <row r="322" spans="1:16" ht="30" x14ac:dyDescent="0.25">
      <c r="A322" s="869"/>
      <c r="B322" s="22"/>
      <c r="C322" s="128"/>
      <c r="D322" s="128"/>
      <c r="E322" s="693" t="s">
        <v>1146</v>
      </c>
      <c r="F322" s="610"/>
      <c r="G322" s="610"/>
      <c r="H322" s="611"/>
      <c r="I322" s="611"/>
      <c r="J322" s="612">
        <v>5000</v>
      </c>
      <c r="K322" s="611"/>
      <c r="L322" s="919">
        <f t="shared" si="74"/>
        <v>5000</v>
      </c>
      <c r="M322" s="610"/>
      <c r="N322" s="610"/>
      <c r="P322" s="984"/>
    </row>
    <row r="323" spans="1:16" x14ac:dyDescent="0.25">
      <c r="A323" s="18"/>
      <c r="B323" s="22"/>
      <c r="C323" s="128"/>
      <c r="D323" s="128"/>
      <c r="E323" s="101" t="s">
        <v>542</v>
      </c>
      <c r="F323" s="117"/>
      <c r="G323" s="117">
        <v>5000</v>
      </c>
      <c r="H323" s="300"/>
      <c r="I323" s="300"/>
      <c r="J323" s="349">
        <f>5000+25000</f>
        <v>30000</v>
      </c>
      <c r="K323" s="300"/>
      <c r="L323" s="62">
        <f t="shared" si="74"/>
        <v>30000</v>
      </c>
      <c r="M323" s="117"/>
      <c r="N323" s="117"/>
    </row>
    <row r="324" spans="1:16" ht="30.75" x14ac:dyDescent="0.25">
      <c r="A324" s="869"/>
      <c r="B324" s="22"/>
      <c r="C324" s="128"/>
      <c r="D324" s="128"/>
      <c r="E324" s="609" t="s">
        <v>475</v>
      </c>
      <c r="F324" s="610">
        <v>45501</v>
      </c>
      <c r="G324" s="610">
        <v>23580</v>
      </c>
      <c r="H324" s="611"/>
      <c r="I324" s="611"/>
      <c r="J324" s="612"/>
      <c r="K324" s="611"/>
      <c r="L324" s="597">
        <f>H324+I324+J324+K324</f>
        <v>0</v>
      </c>
      <c r="M324" s="610"/>
      <c r="N324" s="610"/>
      <c r="P324" s="1009"/>
    </row>
    <row r="325" spans="1:16" x14ac:dyDescent="0.25">
      <c r="A325" s="18"/>
      <c r="B325" s="22"/>
      <c r="C325" s="128" t="s">
        <v>231</v>
      </c>
      <c r="D325" s="128">
        <v>615311</v>
      </c>
      <c r="E325" s="101" t="s">
        <v>692</v>
      </c>
      <c r="F325" s="117"/>
      <c r="G325" s="117">
        <f>45787</f>
        <v>45787</v>
      </c>
      <c r="H325" s="48"/>
      <c r="I325" s="48"/>
      <c r="J325" s="300">
        <f>J326+J327+J328</f>
        <v>64696</v>
      </c>
      <c r="K325" s="48">
        <f>K326+K327</f>
        <v>20000</v>
      </c>
      <c r="L325" s="39">
        <f t="shared" si="74"/>
        <v>84696</v>
      </c>
      <c r="M325" s="117">
        <v>15000</v>
      </c>
      <c r="N325" s="117">
        <v>15000</v>
      </c>
      <c r="O325" s="756">
        <f>84696/80787*100</f>
        <v>104.83864978276208</v>
      </c>
    </row>
    <row r="326" spans="1:16" ht="31.5" customHeight="1" x14ac:dyDescent="0.25">
      <c r="A326" s="18"/>
      <c r="B326" s="22"/>
      <c r="C326" s="128"/>
      <c r="D326" s="128"/>
      <c r="E326" s="609" t="s">
        <v>1147</v>
      </c>
      <c r="F326" s="610"/>
      <c r="G326" s="610">
        <v>35000</v>
      </c>
      <c r="H326" s="611"/>
      <c r="I326" s="611"/>
      <c r="J326" s="611">
        <f>34696</f>
        <v>34696</v>
      </c>
      <c r="K326" s="611">
        <v>20000</v>
      </c>
      <c r="L326" s="613">
        <f t="shared" si="74"/>
        <v>54696</v>
      </c>
      <c r="M326" s="610"/>
      <c r="N326" s="610"/>
      <c r="P326" s="755">
        <f>15200+4900</f>
        <v>20100</v>
      </c>
    </row>
    <row r="327" spans="1:16" ht="30.75" x14ac:dyDescent="0.25">
      <c r="A327" s="18"/>
      <c r="B327" s="22"/>
      <c r="C327" s="128"/>
      <c r="D327" s="128"/>
      <c r="E327" s="609" t="s">
        <v>1148</v>
      </c>
      <c r="F327" s="610"/>
      <c r="G327" s="610">
        <v>10787</v>
      </c>
      <c r="H327" s="611"/>
      <c r="I327" s="611"/>
      <c r="J327" s="611"/>
      <c r="K327" s="611"/>
      <c r="L327" s="613">
        <f t="shared" si="74"/>
        <v>0</v>
      </c>
      <c r="M327" s="610"/>
      <c r="N327" s="610"/>
    </row>
    <row r="328" spans="1:16" x14ac:dyDescent="0.25">
      <c r="A328" s="869"/>
      <c r="B328" s="22"/>
      <c r="C328" s="128"/>
      <c r="D328" s="128"/>
      <c r="E328" s="899" t="s">
        <v>542</v>
      </c>
      <c r="F328" s="117"/>
      <c r="G328" s="117"/>
      <c r="H328" s="909"/>
      <c r="I328" s="909"/>
      <c r="J328" s="909">
        <v>30000</v>
      </c>
      <c r="K328" s="880"/>
      <c r="L328" s="876">
        <f t="shared" si="74"/>
        <v>30000</v>
      </c>
      <c r="M328" s="117"/>
      <c r="N328" s="117"/>
      <c r="P328" s="984"/>
    </row>
    <row r="329" spans="1:16" x14ac:dyDescent="0.25">
      <c r="A329" s="18"/>
      <c r="B329" s="22"/>
      <c r="C329" s="128" t="s">
        <v>1075</v>
      </c>
      <c r="D329" s="128">
        <v>615311</v>
      </c>
      <c r="E329" s="350" t="s">
        <v>693</v>
      </c>
      <c r="F329" s="117">
        <v>9194</v>
      </c>
      <c r="G329" s="117">
        <v>107995</v>
      </c>
      <c r="H329" s="300"/>
      <c r="I329" s="300"/>
      <c r="J329" s="300">
        <f>J333+J332+J330+J331</f>
        <v>107020</v>
      </c>
      <c r="K329" s="48"/>
      <c r="L329" s="39">
        <f t="shared" ref="L329:L356" si="75">H329+I329+J329+K329</f>
        <v>107020</v>
      </c>
      <c r="M329" s="117">
        <f>250000-100000-50000</f>
        <v>100000</v>
      </c>
      <c r="N329" s="117">
        <f>250000-100000-50000</f>
        <v>100000</v>
      </c>
    </row>
    <row r="330" spans="1:16" ht="30" x14ac:dyDescent="0.25">
      <c r="A330" s="869"/>
      <c r="B330" s="22"/>
      <c r="C330" s="128"/>
      <c r="D330" s="128"/>
      <c r="E330" s="616" t="s">
        <v>1149</v>
      </c>
      <c r="F330" s="610"/>
      <c r="G330" s="610"/>
      <c r="H330" s="611"/>
      <c r="I330" s="611"/>
      <c r="J330" s="611">
        <v>7020</v>
      </c>
      <c r="K330" s="611"/>
      <c r="L330" s="613">
        <f t="shared" si="75"/>
        <v>7020</v>
      </c>
      <c r="M330" s="610"/>
      <c r="N330" s="610"/>
      <c r="P330" s="984"/>
    </row>
    <row r="331" spans="1:16" x14ac:dyDescent="0.25">
      <c r="A331" s="18"/>
      <c r="B331" s="22"/>
      <c r="C331" s="128"/>
      <c r="D331" s="128"/>
      <c r="E331" s="101" t="s">
        <v>542</v>
      </c>
      <c r="F331" s="117"/>
      <c r="G331" s="117">
        <f>250000-100000-50000</f>
        <v>100000</v>
      </c>
      <c r="H331" s="300"/>
      <c r="I331" s="300"/>
      <c r="J331" s="300">
        <f>250000-100000-50000</f>
        <v>100000</v>
      </c>
      <c r="K331" s="300"/>
      <c r="L331" s="62">
        <f t="shared" si="75"/>
        <v>100000</v>
      </c>
      <c r="M331" s="117">
        <f>250000-100000-50000</f>
        <v>100000</v>
      </c>
      <c r="N331" s="117">
        <f>250000-100000-50000</f>
        <v>100000</v>
      </c>
    </row>
    <row r="332" spans="1:16" x14ac:dyDescent="0.25">
      <c r="A332" s="869"/>
      <c r="B332" s="22"/>
      <c r="C332" s="128"/>
      <c r="D332" s="128"/>
      <c r="E332" s="616" t="s">
        <v>620</v>
      </c>
      <c r="F332" s="610"/>
      <c r="G332" s="610">
        <v>7995</v>
      </c>
      <c r="H332" s="611"/>
      <c r="I332" s="611"/>
      <c r="J332" s="611"/>
      <c r="K332" s="611"/>
      <c r="L332" s="613">
        <f>H332+I332+J332+K332</f>
        <v>0</v>
      </c>
      <c r="M332" s="610"/>
      <c r="N332" s="610"/>
      <c r="P332" s="1009"/>
    </row>
    <row r="333" spans="1:16" ht="45" customHeight="1" x14ac:dyDescent="0.25">
      <c r="A333" s="869"/>
      <c r="B333" s="22"/>
      <c r="C333" s="128"/>
      <c r="D333" s="128"/>
      <c r="E333" s="614" t="s">
        <v>479</v>
      </c>
      <c r="F333" s="610">
        <v>7977</v>
      </c>
      <c r="G333" s="610"/>
      <c r="H333" s="611"/>
      <c r="I333" s="611"/>
      <c r="J333" s="611"/>
      <c r="K333" s="611"/>
      <c r="L333" s="613">
        <f>H333+I333+J333+K333</f>
        <v>0</v>
      </c>
      <c r="M333" s="610"/>
      <c r="N333" s="610"/>
      <c r="P333" s="1009"/>
    </row>
    <row r="334" spans="1:16" ht="30" x14ac:dyDescent="0.25">
      <c r="A334" s="18"/>
      <c r="B334" s="22"/>
      <c r="C334" s="37" t="s">
        <v>231</v>
      </c>
      <c r="D334" s="37">
        <v>615311</v>
      </c>
      <c r="E334" s="350" t="s">
        <v>694</v>
      </c>
      <c r="F334" s="117">
        <v>56478</v>
      </c>
      <c r="G334" s="117">
        <f>G337+G336</f>
        <v>100551</v>
      </c>
      <c r="H334" s="349"/>
      <c r="I334" s="349"/>
      <c r="J334" s="349">
        <f>J337+J335+J336</f>
        <v>105000</v>
      </c>
      <c r="K334" s="51"/>
      <c r="L334" s="62">
        <f t="shared" si="75"/>
        <v>105000</v>
      </c>
      <c r="M334" s="117">
        <f>M335+M336</f>
        <v>30000</v>
      </c>
      <c r="N334" s="117">
        <f>N335+N336</f>
        <v>30000</v>
      </c>
    </row>
    <row r="335" spans="1:16" ht="30" x14ac:dyDescent="0.25">
      <c r="A335" s="18"/>
      <c r="B335" s="22"/>
      <c r="C335" s="37"/>
      <c r="D335" s="128"/>
      <c r="E335" s="693" t="s">
        <v>1146</v>
      </c>
      <c r="F335" s="1017"/>
      <c r="G335" s="1017"/>
      <c r="H335" s="612"/>
      <c r="I335" s="612"/>
      <c r="J335" s="612">
        <v>5000</v>
      </c>
      <c r="K335" s="612"/>
      <c r="L335" s="1018">
        <f t="shared" si="75"/>
        <v>5000</v>
      </c>
      <c r="M335" s="1017"/>
      <c r="N335" s="1017"/>
    </row>
    <row r="336" spans="1:16" x14ac:dyDescent="0.25">
      <c r="A336" s="18"/>
      <c r="B336" s="22"/>
      <c r="C336" s="37"/>
      <c r="D336" s="128"/>
      <c r="E336" s="101" t="s">
        <v>542</v>
      </c>
      <c r="F336" s="556"/>
      <c r="G336" s="556">
        <v>5000</v>
      </c>
      <c r="H336" s="349"/>
      <c r="I336" s="349"/>
      <c r="J336" s="349">
        <f>5000+95000</f>
        <v>100000</v>
      </c>
      <c r="K336" s="51"/>
      <c r="L336" s="96">
        <f t="shared" si="75"/>
        <v>100000</v>
      </c>
      <c r="M336" s="556">
        <f>50000-20000</f>
        <v>30000</v>
      </c>
      <c r="N336" s="556">
        <f>50000-20000</f>
        <v>30000</v>
      </c>
    </row>
    <row r="337" spans="1:18" ht="30" x14ac:dyDescent="0.25">
      <c r="A337" s="869"/>
      <c r="B337" s="22"/>
      <c r="C337" s="37"/>
      <c r="D337" s="37"/>
      <c r="E337" s="661" t="s">
        <v>475</v>
      </c>
      <c r="F337" s="610"/>
      <c r="G337" s="610">
        <v>95551</v>
      </c>
      <c r="H337" s="611"/>
      <c r="I337" s="611"/>
      <c r="J337" s="612"/>
      <c r="K337" s="611"/>
      <c r="L337" s="613">
        <f>H337+I337+J337+K337</f>
        <v>0</v>
      </c>
      <c r="M337" s="610"/>
      <c r="N337" s="610"/>
      <c r="P337" s="1009"/>
    </row>
    <row r="338" spans="1:18" ht="30" x14ac:dyDescent="0.25">
      <c r="A338" s="18"/>
      <c r="B338" s="22"/>
      <c r="C338" s="37"/>
      <c r="D338" s="128">
        <v>615311</v>
      </c>
      <c r="E338" s="618" t="s">
        <v>695</v>
      </c>
      <c r="F338" s="556"/>
      <c r="G338" s="556">
        <v>50000</v>
      </c>
      <c r="H338" s="349"/>
      <c r="I338" s="349"/>
      <c r="J338" s="349">
        <f>J339+J340</f>
        <v>150000</v>
      </c>
      <c r="K338" s="51"/>
      <c r="L338" s="96">
        <f t="shared" si="75"/>
        <v>150000</v>
      </c>
      <c r="M338" s="556">
        <f>M339+M340</f>
        <v>100000</v>
      </c>
      <c r="N338" s="556">
        <f>N339+N340</f>
        <v>100000</v>
      </c>
    </row>
    <row r="339" spans="1:18" ht="29.25" x14ac:dyDescent="0.25">
      <c r="B339" s="22"/>
      <c r="C339" s="874"/>
      <c r="D339" s="128"/>
      <c r="E339" s="1019" t="s">
        <v>1150</v>
      </c>
      <c r="F339" s="1017"/>
      <c r="G339" s="1017"/>
      <c r="H339" s="612"/>
      <c r="I339" s="612"/>
      <c r="J339" s="612">
        <v>50000</v>
      </c>
      <c r="K339" s="612"/>
      <c r="L339" s="1018">
        <f t="shared" si="75"/>
        <v>50000</v>
      </c>
      <c r="M339" s="1017"/>
      <c r="N339" s="1017"/>
      <c r="P339" s="984"/>
    </row>
    <row r="340" spans="1:18" x14ac:dyDescent="0.25">
      <c r="A340" s="869"/>
      <c r="B340" s="22"/>
      <c r="C340" s="874"/>
      <c r="D340" s="128"/>
      <c r="E340" s="899" t="s">
        <v>542</v>
      </c>
      <c r="F340" s="556"/>
      <c r="G340" s="556"/>
      <c r="H340" s="349"/>
      <c r="I340" s="349"/>
      <c r="J340" s="349">
        <v>100000</v>
      </c>
      <c r="K340" s="51"/>
      <c r="L340" s="897">
        <f t="shared" si="75"/>
        <v>100000</v>
      </c>
      <c r="M340" s="556">
        <v>100000</v>
      </c>
      <c r="N340" s="556">
        <v>100000</v>
      </c>
      <c r="P340" s="984"/>
    </row>
    <row r="341" spans="1:18" s="733" customFormat="1" x14ac:dyDescent="0.25">
      <c r="A341" s="16"/>
      <c r="B341" s="732"/>
      <c r="C341" s="106" t="s">
        <v>232</v>
      </c>
      <c r="D341" s="106">
        <v>615311</v>
      </c>
      <c r="E341" s="456" t="s">
        <v>696</v>
      </c>
      <c r="F341" s="40">
        <f>F342+F343+F344+F345+F346+F347+F348</f>
        <v>148678</v>
      </c>
      <c r="G341" s="40">
        <f>G342+G343+G344+G345+G346+G347+G348</f>
        <v>140000</v>
      </c>
      <c r="H341" s="40">
        <f>H342+H343+H344+H345+H346</f>
        <v>0</v>
      </c>
      <c r="I341" s="40">
        <f>I342+I343+I344+I345+I346</f>
        <v>0</v>
      </c>
      <c r="J341" s="301">
        <f>J342+J343+J344+J345+J346+J347+J348</f>
        <v>140000</v>
      </c>
      <c r="K341" s="40">
        <f>K342+K343+K344+K345+K346</f>
        <v>0</v>
      </c>
      <c r="L341" s="40">
        <f t="shared" si="75"/>
        <v>140000</v>
      </c>
      <c r="M341" s="40">
        <f>M342+M343+M344+M345+M346+M347+M348</f>
        <v>100000</v>
      </c>
      <c r="N341" s="40">
        <f>N342+N343+N344+N345+N346+N347+N348</f>
        <v>100000</v>
      </c>
      <c r="O341" s="756"/>
      <c r="P341" s="755"/>
      <c r="Q341" s="731"/>
    </row>
    <row r="342" spans="1:18" x14ac:dyDescent="0.25">
      <c r="A342" s="18"/>
      <c r="B342" s="22"/>
      <c r="C342" s="37" t="s">
        <v>232</v>
      </c>
      <c r="D342" s="128"/>
      <c r="E342" s="101" t="s">
        <v>697</v>
      </c>
      <c r="F342" s="39">
        <v>42064</v>
      </c>
      <c r="G342" s="39">
        <f>30000</f>
        <v>30000</v>
      </c>
      <c r="H342" s="45"/>
      <c r="I342" s="45"/>
      <c r="J342" s="47">
        <v>30000</v>
      </c>
      <c r="K342" s="45"/>
      <c r="L342" s="39">
        <f t="shared" si="75"/>
        <v>30000</v>
      </c>
      <c r="M342" s="39">
        <f>30000</f>
        <v>30000</v>
      </c>
      <c r="N342" s="39">
        <f>30000</f>
        <v>30000</v>
      </c>
    </row>
    <row r="343" spans="1:18" ht="18" customHeight="1" thickBot="1" x14ac:dyDescent="0.3">
      <c r="A343" s="18"/>
      <c r="B343" s="22"/>
      <c r="C343" s="37" t="s">
        <v>232</v>
      </c>
      <c r="D343" s="128"/>
      <c r="E343" s="101" t="s">
        <v>698</v>
      </c>
      <c r="F343" s="62">
        <v>45000</v>
      </c>
      <c r="G343" s="62">
        <v>70000</v>
      </c>
      <c r="H343" s="45"/>
      <c r="I343" s="45"/>
      <c r="J343" s="47">
        <f>50000+20000</f>
        <v>70000</v>
      </c>
      <c r="K343" s="45"/>
      <c r="L343" s="39">
        <f t="shared" si="75"/>
        <v>70000</v>
      </c>
      <c r="M343" s="62">
        <v>50000</v>
      </c>
      <c r="N343" s="62">
        <v>50000</v>
      </c>
    </row>
    <row r="344" spans="1:18" ht="18" customHeight="1" x14ac:dyDescent="0.25">
      <c r="A344" s="18"/>
      <c r="B344" s="22"/>
      <c r="C344" s="37" t="s">
        <v>232</v>
      </c>
      <c r="D344" s="128"/>
      <c r="E344" s="101" t="s">
        <v>699</v>
      </c>
      <c r="F344" s="39">
        <v>10000</v>
      </c>
      <c r="G344" s="39">
        <v>10000</v>
      </c>
      <c r="H344" s="45"/>
      <c r="I344" s="45"/>
      <c r="J344" s="47">
        <v>10000</v>
      </c>
      <c r="K344" s="45"/>
      <c r="L344" s="39">
        <f t="shared" si="75"/>
        <v>10000</v>
      </c>
      <c r="M344" s="39">
        <v>10000</v>
      </c>
      <c r="N344" s="758">
        <v>10000</v>
      </c>
      <c r="O344" s="757"/>
    </row>
    <row r="345" spans="1:18" ht="18" customHeight="1" x14ac:dyDescent="0.25">
      <c r="A345" s="18"/>
      <c r="B345" s="22"/>
      <c r="C345" s="37" t="s">
        <v>232</v>
      </c>
      <c r="D345" s="128"/>
      <c r="E345" s="101" t="s">
        <v>700</v>
      </c>
      <c r="F345" s="39">
        <v>31614</v>
      </c>
      <c r="G345" s="39">
        <v>10000</v>
      </c>
      <c r="H345" s="45"/>
      <c r="I345" s="45"/>
      <c r="J345" s="47">
        <v>10000</v>
      </c>
      <c r="K345" s="45"/>
      <c r="L345" s="39">
        <f t="shared" si="75"/>
        <v>10000</v>
      </c>
      <c r="M345" s="39"/>
      <c r="N345" s="758"/>
      <c r="O345" s="767"/>
    </row>
    <row r="346" spans="1:18" ht="16.5" thickBot="1" x14ac:dyDescent="0.3">
      <c r="A346" s="18"/>
      <c r="B346" s="22"/>
      <c r="C346" s="37" t="s">
        <v>232</v>
      </c>
      <c r="D346" s="128"/>
      <c r="E346" s="101" t="s">
        <v>701</v>
      </c>
      <c r="F346" s="39">
        <v>10000</v>
      </c>
      <c r="G346" s="39">
        <f>10000</f>
        <v>10000</v>
      </c>
      <c r="H346" s="45"/>
      <c r="I346" s="45"/>
      <c r="J346" s="47">
        <v>10000</v>
      </c>
      <c r="K346" s="45"/>
      <c r="L346" s="39">
        <f t="shared" si="75"/>
        <v>10000</v>
      </c>
      <c r="M346" s="39">
        <v>10000</v>
      </c>
      <c r="N346" s="758">
        <v>10000</v>
      </c>
      <c r="O346" s="759">
        <v>7500</v>
      </c>
      <c r="P346" s="765" t="s">
        <v>882</v>
      </c>
    </row>
    <row r="347" spans="1:18" ht="30.75" x14ac:dyDescent="0.25">
      <c r="A347" s="18"/>
      <c r="B347" s="22"/>
      <c r="C347" s="37"/>
      <c r="D347" s="128"/>
      <c r="E347" s="101" t="s">
        <v>702</v>
      </c>
      <c r="F347" s="62">
        <v>5000</v>
      </c>
      <c r="G347" s="62">
        <v>5000</v>
      </c>
      <c r="H347" s="47"/>
      <c r="I347" s="47"/>
      <c r="J347" s="47">
        <f>10000-5000</f>
        <v>5000</v>
      </c>
      <c r="K347" s="47"/>
      <c r="L347" s="62">
        <f t="shared" si="75"/>
        <v>5000</v>
      </c>
      <c r="M347" s="62"/>
      <c r="N347" s="62"/>
    </row>
    <row r="348" spans="1:18" ht="30.75" x14ac:dyDescent="0.25">
      <c r="A348" s="18"/>
      <c r="B348" s="22"/>
      <c r="C348" s="100" t="s">
        <v>232</v>
      </c>
      <c r="D348" s="141"/>
      <c r="E348" s="101" t="s">
        <v>703</v>
      </c>
      <c r="F348" s="62">
        <v>5000</v>
      </c>
      <c r="G348" s="62">
        <v>5000</v>
      </c>
      <c r="H348" s="47"/>
      <c r="I348" s="47"/>
      <c r="J348" s="47">
        <v>5000</v>
      </c>
      <c r="K348" s="47"/>
      <c r="L348" s="62">
        <f t="shared" si="75"/>
        <v>5000</v>
      </c>
      <c r="M348" s="62"/>
      <c r="N348" s="62"/>
    </row>
    <row r="349" spans="1:18" ht="33" customHeight="1" x14ac:dyDescent="0.25">
      <c r="A349" s="18"/>
      <c r="B349" s="22"/>
      <c r="C349" s="37" t="s">
        <v>231</v>
      </c>
      <c r="D349" s="128">
        <v>615311</v>
      </c>
      <c r="E349" s="524" t="s">
        <v>704</v>
      </c>
      <c r="F349" s="62"/>
      <c r="G349" s="62">
        <v>50000</v>
      </c>
      <c r="H349" s="45">
        <f>40000-40000</f>
        <v>0</v>
      </c>
      <c r="I349" s="45"/>
      <c r="J349" s="47">
        <v>50000</v>
      </c>
      <c r="K349" s="45"/>
      <c r="L349" s="39">
        <f t="shared" si="75"/>
        <v>50000</v>
      </c>
      <c r="M349" s="62">
        <v>50000</v>
      </c>
      <c r="N349" s="62">
        <v>50000</v>
      </c>
    </row>
    <row r="350" spans="1:18" ht="75" x14ac:dyDescent="0.25">
      <c r="A350" s="18"/>
      <c r="B350" s="22"/>
      <c r="C350" s="555" t="s">
        <v>606</v>
      </c>
      <c r="D350" s="932">
        <v>615311</v>
      </c>
      <c r="E350" s="928" t="s">
        <v>705</v>
      </c>
      <c r="F350" s="918"/>
      <c r="G350" s="918">
        <f>20000-10000</f>
        <v>10000</v>
      </c>
      <c r="H350" s="911"/>
      <c r="I350" s="911"/>
      <c r="J350" s="911">
        <f>10000+20000-20000</f>
        <v>10000</v>
      </c>
      <c r="K350" s="911"/>
      <c r="L350" s="918">
        <f t="shared" si="75"/>
        <v>10000</v>
      </c>
      <c r="M350" s="918">
        <f>20000-10000</f>
        <v>10000</v>
      </c>
      <c r="N350" s="918">
        <f>20000-10000</f>
        <v>10000</v>
      </c>
      <c r="O350" s="756" t="s">
        <v>1202</v>
      </c>
      <c r="R350" t="s">
        <v>1203</v>
      </c>
    </row>
    <row r="351" spans="1:18" ht="34.5" customHeight="1" x14ac:dyDescent="0.25">
      <c r="A351" s="18"/>
      <c r="B351" s="22"/>
      <c r="C351" s="335" t="s">
        <v>231</v>
      </c>
      <c r="D351" s="146">
        <v>615411</v>
      </c>
      <c r="E351" s="147" t="s">
        <v>706</v>
      </c>
      <c r="F351" s="39"/>
      <c r="G351" s="39">
        <v>70000</v>
      </c>
      <c r="H351" s="45"/>
      <c r="I351" s="45"/>
      <c r="J351" s="47">
        <f>70000-70000</f>
        <v>0</v>
      </c>
      <c r="K351" s="45"/>
      <c r="L351" s="39">
        <f t="shared" si="75"/>
        <v>0</v>
      </c>
      <c r="M351" s="39">
        <f>70000-70000</f>
        <v>0</v>
      </c>
      <c r="N351" s="39"/>
    </row>
    <row r="352" spans="1:18" ht="32.25" customHeight="1" x14ac:dyDescent="0.25">
      <c r="A352" s="18"/>
      <c r="B352" s="22"/>
      <c r="C352" s="109" t="s">
        <v>231</v>
      </c>
      <c r="D352" s="109">
        <v>615311</v>
      </c>
      <c r="E352" s="129" t="s">
        <v>707</v>
      </c>
      <c r="F352" s="39"/>
      <c r="G352" s="39">
        <v>1000</v>
      </c>
      <c r="H352" s="45"/>
      <c r="I352" s="45"/>
      <c r="J352" s="47">
        <f>1000-1000</f>
        <v>0</v>
      </c>
      <c r="K352" s="45"/>
      <c r="L352" s="47">
        <f t="shared" si="75"/>
        <v>0</v>
      </c>
      <c r="M352" s="39"/>
      <c r="N352" s="39"/>
    </row>
    <row r="353" spans="1:20" ht="30" x14ac:dyDescent="0.25">
      <c r="A353" s="18"/>
      <c r="B353" s="22"/>
      <c r="C353" s="109" t="s">
        <v>231</v>
      </c>
      <c r="D353" s="109">
        <v>615311</v>
      </c>
      <c r="E353" s="129" t="s">
        <v>890</v>
      </c>
      <c r="F353" s="39"/>
      <c r="G353" s="1016"/>
      <c r="H353" s="45"/>
      <c r="I353" s="45"/>
      <c r="J353" s="47">
        <f>J354+J355</f>
        <v>74796</v>
      </c>
      <c r="K353" s="45"/>
      <c r="L353" s="879">
        <f t="shared" si="75"/>
        <v>74796</v>
      </c>
      <c r="M353" s="39"/>
      <c r="N353" s="39"/>
      <c r="O353" s="761" t="s">
        <v>891</v>
      </c>
    </row>
    <row r="354" spans="1:20" ht="30" x14ac:dyDescent="0.25">
      <c r="A354" s="869"/>
      <c r="B354" s="22"/>
      <c r="C354" s="109"/>
      <c r="D354" s="109"/>
      <c r="E354" s="129" t="s">
        <v>1151</v>
      </c>
      <c r="F354" s="876"/>
      <c r="G354" s="876"/>
      <c r="H354" s="878"/>
      <c r="I354" s="878"/>
      <c r="J354" s="879">
        <v>45999</v>
      </c>
      <c r="K354" s="878"/>
      <c r="L354" s="879">
        <f t="shared" si="75"/>
        <v>45999</v>
      </c>
      <c r="M354" s="876"/>
      <c r="N354" s="876"/>
      <c r="O354" s="761"/>
      <c r="P354" s="984"/>
    </row>
    <row r="355" spans="1:20" ht="30" x14ac:dyDescent="0.25">
      <c r="A355" s="869"/>
      <c r="B355" s="22"/>
      <c r="C355" s="109"/>
      <c r="D355" s="109"/>
      <c r="E355" s="129" t="s">
        <v>1152</v>
      </c>
      <c r="F355" s="876"/>
      <c r="G355" s="876"/>
      <c r="H355" s="878"/>
      <c r="I355" s="878"/>
      <c r="J355" s="879">
        <v>28797</v>
      </c>
      <c r="K355" s="878"/>
      <c r="L355" s="879">
        <f t="shared" si="75"/>
        <v>28797</v>
      </c>
      <c r="M355" s="876"/>
      <c r="N355" s="876"/>
      <c r="O355" s="761"/>
      <c r="P355" s="984"/>
    </row>
    <row r="356" spans="1:20" ht="30" x14ac:dyDescent="0.25">
      <c r="A356" s="869"/>
      <c r="B356" s="22"/>
      <c r="C356" s="109" t="s">
        <v>231</v>
      </c>
      <c r="D356" s="109">
        <v>615311</v>
      </c>
      <c r="E356" s="129" t="s">
        <v>1153</v>
      </c>
      <c r="F356" s="876"/>
      <c r="G356" s="876"/>
      <c r="H356" s="878"/>
      <c r="I356" s="878"/>
      <c r="J356" s="879">
        <v>15000</v>
      </c>
      <c r="K356" s="878"/>
      <c r="L356" s="879">
        <f t="shared" si="75"/>
        <v>15000</v>
      </c>
      <c r="M356" s="876"/>
      <c r="N356" s="876"/>
      <c r="O356" s="761"/>
      <c r="P356" s="984"/>
    </row>
    <row r="357" spans="1:20" x14ac:dyDescent="0.25">
      <c r="A357" s="18"/>
      <c r="B357" s="22"/>
      <c r="C357" s="27"/>
      <c r="D357" s="143">
        <v>615000</v>
      </c>
      <c r="E357" s="459" t="s">
        <v>370</v>
      </c>
      <c r="F357" s="329">
        <f>F311+F315+F316+F349+F350+F351+F352+F353</f>
        <v>392451</v>
      </c>
      <c r="G357" s="329">
        <f>G311+G315+G316+G349+G350+G351+G352+G353</f>
        <v>663913</v>
      </c>
      <c r="H357" s="329">
        <f>H311+H315+H316+H349+H350+H351+H352</f>
        <v>70000</v>
      </c>
      <c r="I357" s="912">
        <f>I311+I315+I316+I349+I350+I351+I352</f>
        <v>0</v>
      </c>
      <c r="J357" s="912">
        <f>J311+J315+J316+J349+J350+J351+J352+J353+J356</f>
        <v>768512</v>
      </c>
      <c r="K357" s="912">
        <f>K311+K315+K316+K349+K350+K351+K352</f>
        <v>20000</v>
      </c>
      <c r="L357" s="329">
        <f>L311+L315+L316+L349+L350+L351+L352+L353+L356</f>
        <v>858512</v>
      </c>
      <c r="M357" s="912">
        <f>M311+M315+M316+M349+M350+M351+M352+M353+M356</f>
        <v>480000</v>
      </c>
      <c r="N357" s="912">
        <f>N311+N315+N316+N349+N350+N351+N352+N353+N356</f>
        <v>480000</v>
      </c>
    </row>
    <row r="358" spans="1:20" ht="6" customHeight="1" x14ac:dyDescent="0.25">
      <c r="A358" s="18"/>
      <c r="B358" s="22"/>
      <c r="C358" s="243"/>
      <c r="D358" s="475"/>
      <c r="E358" s="476"/>
      <c r="F358" s="265"/>
      <c r="G358" s="265"/>
      <c r="H358" s="265"/>
      <c r="I358" s="265"/>
      <c r="J358" s="265"/>
      <c r="K358" s="265"/>
      <c r="L358" s="566"/>
      <c r="M358" s="265"/>
      <c r="N358" s="265"/>
    </row>
    <row r="359" spans="1:20" ht="31.5" x14ac:dyDescent="0.25">
      <c r="A359" s="18"/>
      <c r="B359" s="22"/>
      <c r="C359" s="109" t="s">
        <v>233</v>
      </c>
      <c r="D359" s="146">
        <v>821200</v>
      </c>
      <c r="E359" s="374" t="s">
        <v>8</v>
      </c>
      <c r="F359" s="99">
        <f>F360+F364+F367+F368+F373+F374+F375+F376+F379+F389+F390+F391</f>
        <v>1022402</v>
      </c>
      <c r="G359" s="99">
        <f>G360+G364+G367+G368+G373+G374+G375+G376+G379+G389+G390+G391</f>
        <v>5972245</v>
      </c>
      <c r="H359" s="99">
        <f>H360+H364+H367+H368+H373+H374+H375+H376+H379+H389+H389+H391</f>
        <v>0</v>
      </c>
      <c r="I359" s="99">
        <f>I360+I364+I367+I368+I373+I374+I375+I376+I379+I389+I391</f>
        <v>2633556</v>
      </c>
      <c r="J359" s="99">
        <f>J360+J364+J367+J368+J373+J374+J375+J376+J379+J389+J390+J391</f>
        <v>1869920.98</v>
      </c>
      <c r="K359" s="99">
        <f>K360+K364+K367+K368+K373+K374+K375+K376+K379+K389+K390+K391</f>
        <v>1551652</v>
      </c>
      <c r="L359" s="99">
        <f t="shared" ref="L359:L364" si="76">H359+I359+J359+K359</f>
        <v>6055128.9800000004</v>
      </c>
      <c r="M359" s="99">
        <f>M360+M364+M367+M368+M373+M374+M375+M376+M379+M389+M390+M391</f>
        <v>5414593</v>
      </c>
      <c r="N359" s="99">
        <f>N360+N364+N367+N368+N373+N374+N375+N376+N379+N389+N390+N391</f>
        <v>2870000</v>
      </c>
    </row>
    <row r="360" spans="1:20" ht="30.75" x14ac:dyDescent="0.25">
      <c r="A360" s="18"/>
      <c r="B360" s="22"/>
      <c r="C360" s="109" t="s">
        <v>233</v>
      </c>
      <c r="D360" s="128">
        <v>821221</v>
      </c>
      <c r="E360" s="101" t="s">
        <v>416</v>
      </c>
      <c r="F360" s="47">
        <v>336461</v>
      </c>
      <c r="G360" s="47">
        <f>500000-100000-300000</f>
        <v>100000</v>
      </c>
      <c r="H360" s="45"/>
      <c r="I360" s="45"/>
      <c r="J360" s="47">
        <f>J361+J362+J363</f>
        <v>248330</v>
      </c>
      <c r="K360" s="45"/>
      <c r="L360" s="47">
        <f t="shared" si="76"/>
        <v>248330</v>
      </c>
      <c r="M360" s="47">
        <f>500000-100000-300000</f>
        <v>100000</v>
      </c>
      <c r="N360" s="47">
        <f>100000+100000</f>
        <v>200000</v>
      </c>
    </row>
    <row r="361" spans="1:20" ht="30.75" x14ac:dyDescent="0.25">
      <c r="A361" s="18"/>
      <c r="B361" s="22"/>
      <c r="C361" s="694"/>
      <c r="D361" s="695"/>
      <c r="E361" s="609" t="s">
        <v>622</v>
      </c>
      <c r="F361" s="615"/>
      <c r="G361" s="615">
        <v>74645</v>
      </c>
      <c r="H361" s="615"/>
      <c r="I361" s="615"/>
      <c r="J361" s="615"/>
      <c r="K361" s="615"/>
      <c r="L361" s="615">
        <f t="shared" si="76"/>
        <v>0</v>
      </c>
      <c r="M361" s="615"/>
      <c r="N361" s="615"/>
    </row>
    <row r="362" spans="1:20" ht="30.75" x14ac:dyDescent="0.25">
      <c r="A362" s="869"/>
      <c r="B362" s="22"/>
      <c r="C362" s="694"/>
      <c r="D362" s="695"/>
      <c r="E362" s="609" t="s">
        <v>1154</v>
      </c>
      <c r="F362" s="615"/>
      <c r="G362" s="615"/>
      <c r="H362" s="615"/>
      <c r="I362" s="615"/>
      <c r="J362" s="615">
        <v>48330</v>
      </c>
      <c r="K362" s="615"/>
      <c r="L362" s="615">
        <f t="shared" si="76"/>
        <v>48330</v>
      </c>
      <c r="M362" s="615"/>
      <c r="N362" s="615"/>
      <c r="P362" s="984"/>
    </row>
    <row r="363" spans="1:20" x14ac:dyDescent="0.25">
      <c r="A363" s="869"/>
      <c r="B363" s="22"/>
      <c r="C363" s="694"/>
      <c r="D363" s="695"/>
      <c r="E363" s="609" t="s">
        <v>542</v>
      </c>
      <c r="F363" s="615"/>
      <c r="G363" s="615"/>
      <c r="H363" s="615"/>
      <c r="I363" s="615"/>
      <c r="J363" s="615">
        <v>200000</v>
      </c>
      <c r="K363" s="615"/>
      <c r="L363" s="615">
        <f t="shared" si="76"/>
        <v>200000</v>
      </c>
      <c r="M363" s="615"/>
      <c r="N363" s="615"/>
      <c r="P363" s="984"/>
    </row>
    <row r="364" spans="1:20" ht="94.15" customHeight="1" x14ac:dyDescent="0.25">
      <c r="A364" s="18"/>
      <c r="B364" s="22"/>
      <c r="C364" s="305" t="s">
        <v>233</v>
      </c>
      <c r="D364" s="306">
        <v>821224</v>
      </c>
      <c r="E364" s="307" t="s">
        <v>591</v>
      </c>
      <c r="F364" s="308">
        <v>10998</v>
      </c>
      <c r="G364" s="308">
        <v>96087</v>
      </c>
      <c r="H364" s="309"/>
      <c r="I364" s="309"/>
      <c r="J364" s="309">
        <f>J365+J366</f>
        <v>65979</v>
      </c>
      <c r="K364" s="309"/>
      <c r="L364" s="309">
        <f t="shared" si="76"/>
        <v>65979</v>
      </c>
      <c r="M364" s="308">
        <v>35000</v>
      </c>
      <c r="N364" s="308">
        <v>35000</v>
      </c>
    </row>
    <row r="365" spans="1:20" ht="30" x14ac:dyDescent="0.25">
      <c r="A365" s="18"/>
      <c r="B365" s="22"/>
      <c r="C365" s="335"/>
      <c r="D365" s="100"/>
      <c r="E365" s="621" t="s">
        <v>621</v>
      </c>
      <c r="F365" s="471"/>
      <c r="G365" s="471"/>
      <c r="H365" s="699"/>
      <c r="I365" s="699"/>
      <c r="J365" s="699">
        <v>15979</v>
      </c>
      <c r="K365" s="699"/>
      <c r="L365" s="699">
        <f t="shared" ref="L365:L366" si="77">H365+I365+J365+K365</f>
        <v>15979</v>
      </c>
      <c r="M365" s="471"/>
      <c r="N365" s="471"/>
    </row>
    <row r="366" spans="1:20" x14ac:dyDescent="0.25">
      <c r="A366" s="869"/>
      <c r="B366" s="22"/>
      <c r="C366" s="335"/>
      <c r="D366" s="898"/>
      <c r="E366" s="985" t="s">
        <v>542</v>
      </c>
      <c r="F366" s="471"/>
      <c r="G366" s="471"/>
      <c r="H366" s="699"/>
      <c r="I366" s="699"/>
      <c r="J366" s="699">
        <v>50000</v>
      </c>
      <c r="K366" s="699"/>
      <c r="L366" s="699">
        <f t="shared" si="77"/>
        <v>50000</v>
      </c>
      <c r="M366" s="471"/>
      <c r="N366" s="471"/>
      <c r="P366" s="984"/>
    </row>
    <row r="367" spans="1:20" ht="54.75" customHeight="1" x14ac:dyDescent="0.25">
      <c r="A367" s="18"/>
      <c r="B367" s="22"/>
      <c r="C367" s="109" t="s">
        <v>233</v>
      </c>
      <c r="D367" s="128">
        <v>821619</v>
      </c>
      <c r="E367" s="129" t="s">
        <v>592</v>
      </c>
      <c r="F367" s="39"/>
      <c r="G367" s="39">
        <v>15000</v>
      </c>
      <c r="H367" s="45"/>
      <c r="I367" s="45"/>
      <c r="J367" s="47">
        <f>30000-15000-15000</f>
        <v>0</v>
      </c>
      <c r="K367" s="45"/>
      <c r="L367" s="47">
        <f>H367+I367+J367+K367</f>
        <v>0</v>
      </c>
      <c r="M367" s="39"/>
      <c r="N367" s="39"/>
    </row>
    <row r="368" spans="1:20" ht="30" x14ac:dyDescent="0.25">
      <c r="A368" s="18"/>
      <c r="B368" s="22"/>
      <c r="C368" s="109" t="s">
        <v>233</v>
      </c>
      <c r="D368" s="37">
        <v>821611</v>
      </c>
      <c r="E368" s="150" t="s">
        <v>593</v>
      </c>
      <c r="F368" s="39"/>
      <c r="G368" s="39">
        <v>75000</v>
      </c>
      <c r="H368" s="45"/>
      <c r="I368" s="45"/>
      <c r="J368" s="47">
        <f>J369+J370+J371+J372</f>
        <v>99015.5</v>
      </c>
      <c r="K368" s="879">
        <f>K369+K370+K371+K372</f>
        <v>10000</v>
      </c>
      <c r="L368" s="47">
        <f>H368+I368+J368+K368</f>
        <v>109015.5</v>
      </c>
      <c r="M368" s="39">
        <f>40000-10000-5000</f>
        <v>25000</v>
      </c>
      <c r="N368" s="39">
        <f>30000-5000</f>
        <v>25000</v>
      </c>
      <c r="O368" s="1081" t="s">
        <v>1074</v>
      </c>
      <c r="P368" s="1082"/>
      <c r="Q368" s="1082"/>
      <c r="R368" s="1082"/>
      <c r="S368" s="1082"/>
      <c r="T368" s="1082"/>
    </row>
    <row r="369" spans="1:20" ht="45" x14ac:dyDescent="0.25">
      <c r="A369" s="18"/>
      <c r="B369" s="22"/>
      <c r="C369" s="109"/>
      <c r="D369" s="37"/>
      <c r="E369" s="696" t="s">
        <v>1156</v>
      </c>
      <c r="F369" s="39"/>
      <c r="G369" s="39"/>
      <c r="H369" s="615"/>
      <c r="I369" s="615"/>
      <c r="J369" s="615">
        <f>27085.5-20000</f>
        <v>7085.5</v>
      </c>
      <c r="K369" s="615"/>
      <c r="L369" s="615">
        <f t="shared" ref="L369:L372" si="78">H369+I369+J369+K369</f>
        <v>7085.5</v>
      </c>
      <c r="M369" s="39"/>
      <c r="N369" s="39"/>
      <c r="O369" s="756" t="s">
        <v>1069</v>
      </c>
      <c r="P369" s="755" t="s">
        <v>1070</v>
      </c>
      <c r="Q369" s="731" t="s">
        <v>1071</v>
      </c>
      <c r="R369" t="s">
        <v>1072</v>
      </c>
      <c r="S369" t="s">
        <v>1073</v>
      </c>
    </row>
    <row r="370" spans="1:20" ht="45" x14ac:dyDescent="0.25">
      <c r="A370" s="869"/>
      <c r="B370" s="22"/>
      <c r="C370" s="109"/>
      <c r="D370" s="874"/>
      <c r="E370" s="696" t="s">
        <v>1155</v>
      </c>
      <c r="F370" s="876"/>
      <c r="G370" s="876"/>
      <c r="H370" s="615"/>
      <c r="I370" s="615"/>
      <c r="J370" s="615">
        <v>33930</v>
      </c>
      <c r="K370" s="615"/>
      <c r="L370" s="615">
        <f t="shared" si="78"/>
        <v>33930</v>
      </c>
      <c r="M370" s="876"/>
      <c r="N370" s="876"/>
      <c r="P370" s="984"/>
    </row>
    <row r="371" spans="1:20" ht="30" x14ac:dyDescent="0.25">
      <c r="A371" s="869"/>
      <c r="B371" s="22"/>
      <c r="C371" s="109"/>
      <c r="D371" s="874"/>
      <c r="E371" s="696" t="s">
        <v>1157</v>
      </c>
      <c r="F371" s="876"/>
      <c r="G371" s="876"/>
      <c r="H371" s="615"/>
      <c r="I371" s="615"/>
      <c r="J371" s="615">
        <f>8000</f>
        <v>8000</v>
      </c>
      <c r="K371" s="615">
        <v>10000</v>
      </c>
      <c r="L371" s="615">
        <f t="shared" si="78"/>
        <v>18000</v>
      </c>
      <c r="M371" s="876"/>
      <c r="N371" s="876"/>
      <c r="P371" s="984"/>
    </row>
    <row r="372" spans="1:20" x14ac:dyDescent="0.25">
      <c r="A372" s="869"/>
      <c r="B372" s="22"/>
      <c r="C372" s="109"/>
      <c r="D372" s="874"/>
      <c r="E372" s="609" t="s">
        <v>542</v>
      </c>
      <c r="F372" s="876"/>
      <c r="G372" s="876"/>
      <c r="H372" s="615"/>
      <c r="I372" s="615"/>
      <c r="J372" s="615">
        <v>50000</v>
      </c>
      <c r="K372" s="615"/>
      <c r="L372" s="615">
        <f t="shared" si="78"/>
        <v>50000</v>
      </c>
      <c r="M372" s="876"/>
      <c r="N372" s="876"/>
      <c r="P372" s="984"/>
    </row>
    <row r="373" spans="1:20" ht="45" x14ac:dyDescent="0.2">
      <c r="A373" s="18"/>
      <c r="B373" s="22"/>
      <c r="C373" s="305" t="s">
        <v>233</v>
      </c>
      <c r="D373" s="305">
        <v>821224</v>
      </c>
      <c r="E373" s="307" t="s">
        <v>594</v>
      </c>
      <c r="F373" s="308"/>
      <c r="G373" s="308">
        <v>2502304</v>
      </c>
      <c r="H373" s="309"/>
      <c r="I373" s="309">
        <v>1349872</v>
      </c>
      <c r="J373" s="309">
        <v>748230</v>
      </c>
      <c r="K373" s="309">
        <v>454000</v>
      </c>
      <c r="L373" s="309">
        <f t="shared" ref="L373:L418" si="79">H373+I373+J373+K373</f>
        <v>2552102</v>
      </c>
      <c r="M373" s="308"/>
      <c r="N373" s="308"/>
      <c r="O373" s="309">
        <v>674936</v>
      </c>
      <c r="P373" s="309">
        <v>526115</v>
      </c>
      <c r="Q373" s="309">
        <v>150000</v>
      </c>
      <c r="R373" s="309">
        <f t="shared" ref="R373" si="80">N373+O373+P373+Q373</f>
        <v>1351051</v>
      </c>
      <c r="S373" s="308">
        <f>674936+526115</f>
        <v>1201051</v>
      </c>
      <c r="T373" s="308"/>
    </row>
    <row r="374" spans="1:20" ht="75" x14ac:dyDescent="0.25">
      <c r="A374" s="18"/>
      <c r="B374" s="22"/>
      <c r="C374" s="305" t="s">
        <v>233</v>
      </c>
      <c r="D374" s="305">
        <v>821224</v>
      </c>
      <c r="E374" s="307" t="s">
        <v>595</v>
      </c>
      <c r="F374" s="308"/>
      <c r="G374" s="308">
        <f>1892684+200000</f>
        <v>2092684</v>
      </c>
      <c r="H374" s="309"/>
      <c r="I374" s="309">
        <v>1133684</v>
      </c>
      <c r="J374" s="309">
        <v>459000</v>
      </c>
      <c r="K374" s="309">
        <v>500000</v>
      </c>
      <c r="L374" s="309">
        <f t="shared" si="79"/>
        <v>2092684</v>
      </c>
      <c r="M374" s="308">
        <f>2267368+1227225+1100000</f>
        <v>4594593</v>
      </c>
      <c r="N374" s="768"/>
      <c r="O374" s="803">
        <v>2267368</v>
      </c>
      <c r="P374" s="755">
        <v>1227225</v>
      </c>
      <c r="Q374" s="731">
        <v>1100000</v>
      </c>
    </row>
    <row r="375" spans="1:20" ht="30" x14ac:dyDescent="0.25">
      <c r="A375" s="18"/>
      <c r="B375" s="22"/>
      <c r="C375" s="335" t="s">
        <v>233</v>
      </c>
      <c r="D375" s="335">
        <v>821224</v>
      </c>
      <c r="E375" s="336" t="s">
        <v>596</v>
      </c>
      <c r="F375" s="62"/>
      <c r="G375" s="62">
        <f>21000-11000</f>
        <v>10000</v>
      </c>
      <c r="H375" s="47"/>
      <c r="I375" s="47"/>
      <c r="J375" s="47">
        <f>20000-10000</f>
        <v>10000</v>
      </c>
      <c r="K375" s="47"/>
      <c r="L375" s="47">
        <f t="shared" si="79"/>
        <v>10000</v>
      </c>
      <c r="M375" s="62">
        <f>21000-11000</f>
        <v>10000</v>
      </c>
      <c r="N375" s="62"/>
    </row>
    <row r="376" spans="1:20" ht="45" x14ac:dyDescent="0.25">
      <c r="A376" s="18"/>
      <c r="B376" s="22"/>
      <c r="C376" s="335" t="s">
        <v>233</v>
      </c>
      <c r="D376" s="335">
        <v>821224</v>
      </c>
      <c r="E376" s="655" t="s">
        <v>597</v>
      </c>
      <c r="F376" s="62">
        <v>158869</v>
      </c>
      <c r="G376" s="62">
        <v>100000</v>
      </c>
      <c r="H376" s="47"/>
      <c r="I376" s="47"/>
      <c r="J376" s="47">
        <f>J378+J377</f>
        <v>93234</v>
      </c>
      <c r="K376" s="47"/>
      <c r="L376" s="47">
        <f t="shared" si="79"/>
        <v>93234</v>
      </c>
      <c r="M376" s="62">
        <f>50000+50000-50000</f>
        <v>50000</v>
      </c>
      <c r="N376" s="62">
        <f>100000-50000</f>
        <v>50000</v>
      </c>
    </row>
    <row r="377" spans="1:20" ht="30" x14ac:dyDescent="0.25">
      <c r="A377" s="18"/>
      <c r="B377" s="22"/>
      <c r="C377" s="335"/>
      <c r="D377" s="335"/>
      <c r="E377" s="693" t="s">
        <v>1146</v>
      </c>
      <c r="F377" s="611"/>
      <c r="G377" s="611">
        <v>93234</v>
      </c>
      <c r="H377" s="611"/>
      <c r="I377" s="611"/>
      <c r="J377" s="612">
        <v>93234</v>
      </c>
      <c r="K377" s="611"/>
      <c r="L377" s="615">
        <f t="shared" si="79"/>
        <v>93234</v>
      </c>
      <c r="M377" s="300"/>
      <c r="N377" s="300"/>
    </row>
    <row r="378" spans="1:20" ht="30" x14ac:dyDescent="0.25">
      <c r="A378" s="869"/>
      <c r="B378" s="22"/>
      <c r="C378" s="335"/>
      <c r="D378" s="335"/>
      <c r="E378" s="524" t="s">
        <v>475</v>
      </c>
      <c r="F378" s="117">
        <v>58869</v>
      </c>
      <c r="G378" s="117">
        <v>6766</v>
      </c>
      <c r="H378" s="300"/>
      <c r="I378" s="300"/>
      <c r="J378" s="349"/>
      <c r="K378" s="300"/>
      <c r="L378" s="47">
        <f>H378+I378+J378+K378</f>
        <v>0</v>
      </c>
      <c r="M378" s="117"/>
      <c r="N378" s="117"/>
      <c r="P378" s="1009"/>
    </row>
    <row r="379" spans="1:20" ht="31.5" customHeight="1" x14ac:dyDescent="0.25">
      <c r="A379" s="18"/>
      <c r="B379" s="22"/>
      <c r="C379" s="335"/>
      <c r="D379" s="100">
        <v>821224</v>
      </c>
      <c r="E379" s="569" t="s">
        <v>1158</v>
      </c>
      <c r="F379" s="47">
        <v>516074</v>
      </c>
      <c r="G379" s="47">
        <v>851170</v>
      </c>
      <c r="H379" s="47"/>
      <c r="I379" s="47"/>
      <c r="J379" s="47">
        <f>J380+J381+J382+J383+J387+J388</f>
        <v>96132.479999999996</v>
      </c>
      <c r="K379" s="879">
        <f>K380+K381+K382+K383+K387+K388</f>
        <v>587652</v>
      </c>
      <c r="L379" s="47">
        <f t="shared" si="79"/>
        <v>683784.48</v>
      </c>
      <c r="M379" s="47">
        <f>200000-50000</f>
        <v>150000</v>
      </c>
      <c r="N379" s="47">
        <f>150000+100000</f>
        <v>250000</v>
      </c>
    </row>
    <row r="380" spans="1:20" ht="30" x14ac:dyDescent="0.25">
      <c r="A380" s="18"/>
      <c r="B380" s="22"/>
      <c r="C380" s="335"/>
      <c r="D380" s="100"/>
      <c r="E380" s="697" t="s">
        <v>625</v>
      </c>
      <c r="F380" s="47"/>
      <c r="G380" s="47">
        <v>216740</v>
      </c>
      <c r="H380" s="615"/>
      <c r="I380" s="615"/>
      <c r="J380" s="615">
        <f>216740-200000</f>
        <v>16740</v>
      </c>
      <c r="K380" s="615">
        <f>200000-89212</f>
        <v>110788</v>
      </c>
      <c r="L380" s="615">
        <f t="shared" si="79"/>
        <v>127528</v>
      </c>
      <c r="M380" s="47"/>
      <c r="N380" s="47"/>
    </row>
    <row r="381" spans="1:20" ht="30" x14ac:dyDescent="0.25">
      <c r="A381" s="18"/>
      <c r="B381" s="22"/>
      <c r="C381" s="335"/>
      <c r="D381" s="100"/>
      <c r="E381" s="697" t="s">
        <v>626</v>
      </c>
      <c r="F381" s="47"/>
      <c r="G381" s="47">
        <v>138660</v>
      </c>
      <c r="H381" s="615"/>
      <c r="I381" s="615"/>
      <c r="J381" s="615"/>
      <c r="K381" s="615">
        <f>138660-55601</f>
        <v>83059</v>
      </c>
      <c r="L381" s="615">
        <f t="shared" si="79"/>
        <v>83059</v>
      </c>
      <c r="M381" s="47"/>
      <c r="N381" s="47"/>
    </row>
    <row r="382" spans="1:20" ht="45" x14ac:dyDescent="0.25">
      <c r="A382" s="18"/>
      <c r="B382" s="22"/>
      <c r="C382" s="335"/>
      <c r="D382" s="100"/>
      <c r="E382" s="697" t="s">
        <v>624</v>
      </c>
      <c r="F382" s="47"/>
      <c r="G382" s="47">
        <v>87093</v>
      </c>
      <c r="H382" s="615"/>
      <c r="I382" s="615"/>
      <c r="J382" s="615">
        <f>87093.48-68280-18813</f>
        <v>0.47999999999592546</v>
      </c>
      <c r="K382" s="615">
        <f>68279.7-68279.7</f>
        <v>0</v>
      </c>
      <c r="L382" s="615">
        <f t="shared" si="79"/>
        <v>0.47999999999592546</v>
      </c>
      <c r="M382" s="47"/>
      <c r="N382" s="47"/>
      <c r="O382" s="756" t="s">
        <v>1159</v>
      </c>
    </row>
    <row r="383" spans="1:20" ht="45" x14ac:dyDescent="0.25">
      <c r="A383" s="18"/>
      <c r="B383" s="22"/>
      <c r="C383" s="335"/>
      <c r="D383" s="100"/>
      <c r="E383" s="697" t="s">
        <v>623</v>
      </c>
      <c r="F383" s="47"/>
      <c r="G383" s="47">
        <v>150440</v>
      </c>
      <c r="H383" s="615"/>
      <c r="I383" s="615"/>
      <c r="J383" s="615"/>
      <c r="K383" s="615">
        <f>150440-62820</f>
        <v>87620</v>
      </c>
      <c r="L383" s="615">
        <f t="shared" si="79"/>
        <v>87620</v>
      </c>
      <c r="M383" s="47"/>
      <c r="N383" s="47"/>
    </row>
    <row r="384" spans="1:20" ht="60.75" x14ac:dyDescent="0.25">
      <c r="A384" s="18"/>
      <c r="B384" s="22"/>
      <c r="C384" s="335"/>
      <c r="D384" s="100"/>
      <c r="E384" s="275" t="s">
        <v>483</v>
      </c>
      <c r="F384" s="47">
        <v>389387</v>
      </c>
      <c r="G384" s="47"/>
      <c r="H384" s="47"/>
      <c r="I384" s="47"/>
      <c r="J384" s="47"/>
      <c r="K384" s="47"/>
      <c r="L384" s="47">
        <f t="shared" si="79"/>
        <v>0</v>
      </c>
      <c r="M384" s="47"/>
      <c r="N384" s="47"/>
    </row>
    <row r="385" spans="1:17" ht="75.75" x14ac:dyDescent="0.25">
      <c r="A385" s="18"/>
      <c r="B385" s="22"/>
      <c r="C385" s="335"/>
      <c r="D385" s="100"/>
      <c r="E385" s="275" t="s">
        <v>480</v>
      </c>
      <c r="F385" s="47">
        <v>15540</v>
      </c>
      <c r="G385" s="47"/>
      <c r="H385" s="47"/>
      <c r="I385" s="47"/>
      <c r="J385" s="47"/>
      <c r="K385" s="47"/>
      <c r="L385" s="47">
        <f t="shared" si="79"/>
        <v>0</v>
      </c>
      <c r="M385" s="47"/>
      <c r="N385" s="47"/>
    </row>
    <row r="386" spans="1:17" ht="30.75" x14ac:dyDescent="0.25">
      <c r="A386" s="18"/>
      <c r="B386" s="22"/>
      <c r="C386" s="335"/>
      <c r="D386" s="100"/>
      <c r="E386" s="275" t="s">
        <v>486</v>
      </c>
      <c r="F386" s="47">
        <v>91947</v>
      </c>
      <c r="G386" s="47"/>
      <c r="H386" s="47"/>
      <c r="I386" s="47"/>
      <c r="J386" s="47"/>
      <c r="K386" s="47"/>
      <c r="L386" s="47">
        <f t="shared" si="79"/>
        <v>0</v>
      </c>
      <c r="M386" s="47"/>
      <c r="N386" s="47"/>
    </row>
    <row r="387" spans="1:17" ht="30.75" x14ac:dyDescent="0.25">
      <c r="A387" s="869"/>
      <c r="B387" s="22"/>
      <c r="C387" s="335"/>
      <c r="D387" s="898"/>
      <c r="E387" s="907" t="s">
        <v>1160</v>
      </c>
      <c r="F387" s="879"/>
      <c r="G387" s="879"/>
      <c r="H387" s="879"/>
      <c r="I387" s="879"/>
      <c r="J387" s="879">
        <v>78392</v>
      </c>
      <c r="K387" s="879">
        <v>163565</v>
      </c>
      <c r="L387" s="879">
        <f t="shared" si="79"/>
        <v>241957</v>
      </c>
      <c r="M387" s="879"/>
      <c r="N387" s="879"/>
      <c r="O387" s="756" t="s">
        <v>1196</v>
      </c>
      <c r="P387" s="984"/>
    </row>
    <row r="388" spans="1:17" ht="18.75" customHeight="1" x14ac:dyDescent="0.25">
      <c r="A388" s="18"/>
      <c r="B388" s="22"/>
      <c r="C388" s="335"/>
      <c r="D388" s="100"/>
      <c r="E388" s="569" t="s">
        <v>637</v>
      </c>
      <c r="F388" s="47"/>
      <c r="G388" s="47">
        <v>258237</v>
      </c>
      <c r="H388" s="47"/>
      <c r="I388" s="47"/>
      <c r="J388" s="911">
        <f>200000-34383-50000-114617</f>
        <v>1000</v>
      </c>
      <c r="K388" s="47">
        <f>700000-557380</f>
        <v>142620</v>
      </c>
      <c r="L388" s="47">
        <f t="shared" si="79"/>
        <v>143620</v>
      </c>
      <c r="M388" s="47"/>
      <c r="N388" s="47"/>
      <c r="O388" s="756" t="s">
        <v>1197</v>
      </c>
    </row>
    <row r="389" spans="1:17" ht="93.6" customHeight="1" x14ac:dyDescent="0.25">
      <c r="A389" s="18"/>
      <c r="B389" s="22"/>
      <c r="C389" s="109" t="s">
        <v>233</v>
      </c>
      <c r="D389" s="100">
        <v>821224</v>
      </c>
      <c r="E389" s="569" t="s">
        <v>598</v>
      </c>
      <c r="F389" s="47"/>
      <c r="G389" s="47">
        <v>20000</v>
      </c>
      <c r="H389" s="47"/>
      <c r="I389" s="879">
        <f>20000-20000</f>
        <v>0</v>
      </c>
      <c r="J389" s="47">
        <f>20000-20000</f>
        <v>0</v>
      </c>
      <c r="K389" s="47">
        <f>500000-500000</f>
        <v>0</v>
      </c>
      <c r="L389" s="47">
        <f t="shared" si="79"/>
        <v>0</v>
      </c>
      <c r="M389" s="47"/>
      <c r="N389" s="47"/>
      <c r="O389" s="756" t="s">
        <v>1161</v>
      </c>
      <c r="P389" s="755" t="s">
        <v>959</v>
      </c>
      <c r="Q389" s="755" t="s">
        <v>960</v>
      </c>
    </row>
    <row r="390" spans="1:17" ht="50.25" customHeight="1" x14ac:dyDescent="0.25">
      <c r="A390" s="18"/>
      <c r="B390" s="22"/>
      <c r="C390" s="109" t="s">
        <v>233</v>
      </c>
      <c r="D390" s="100">
        <v>821224</v>
      </c>
      <c r="E390" s="569" t="s">
        <v>599</v>
      </c>
      <c r="F390" s="47"/>
      <c r="G390" s="47">
        <v>30000</v>
      </c>
      <c r="H390" s="47"/>
      <c r="I390" s="47"/>
      <c r="J390" s="313">
        <f>30000+20000</f>
        <v>50000</v>
      </c>
      <c r="K390" s="47"/>
      <c r="L390" s="313">
        <f t="shared" si="79"/>
        <v>50000</v>
      </c>
      <c r="M390" s="47">
        <f>50000-50000</f>
        <v>0</v>
      </c>
      <c r="N390" s="47">
        <f>100000+1000000</f>
        <v>1100000</v>
      </c>
      <c r="O390" s="756" t="s">
        <v>958</v>
      </c>
      <c r="Q390" s="763" t="s">
        <v>963</v>
      </c>
    </row>
    <row r="391" spans="1:17" ht="39" customHeight="1" x14ac:dyDescent="0.25">
      <c r="A391" s="18"/>
      <c r="B391" s="22"/>
      <c r="C391" s="109" t="s">
        <v>233</v>
      </c>
      <c r="D391" s="100">
        <v>821224</v>
      </c>
      <c r="E391" s="569" t="s">
        <v>1162</v>
      </c>
      <c r="F391" s="47"/>
      <c r="G391" s="47">
        <f>200000-120000</f>
        <v>80000</v>
      </c>
      <c r="H391" s="47"/>
      <c r="I391" s="313">
        <f>80000+70000</f>
        <v>150000</v>
      </c>
      <c r="J391" s="47">
        <f>80000-80000</f>
        <v>0</v>
      </c>
      <c r="K391" s="313">
        <f>300000-300000</f>
        <v>0</v>
      </c>
      <c r="L391" s="313">
        <f t="shared" si="79"/>
        <v>150000</v>
      </c>
      <c r="M391" s="47">
        <f>150000+300000</f>
        <v>450000</v>
      </c>
      <c r="N391" s="47">
        <f>510000+700000</f>
        <v>1210000</v>
      </c>
      <c r="O391" s="756" t="s">
        <v>1204</v>
      </c>
      <c r="P391" s="755" t="s">
        <v>961</v>
      </c>
      <c r="Q391" s="837" t="s">
        <v>962</v>
      </c>
    </row>
    <row r="392" spans="1:17" x14ac:dyDescent="0.25">
      <c r="A392" s="18"/>
      <c r="B392" s="22"/>
      <c r="C392" s="109" t="s">
        <v>233</v>
      </c>
      <c r="D392" s="148">
        <v>821220</v>
      </c>
      <c r="E392" s="375" t="s">
        <v>242</v>
      </c>
      <c r="F392" s="45">
        <v>57971</v>
      </c>
      <c r="G392" s="45">
        <f>G393</f>
        <v>50000</v>
      </c>
      <c r="H392" s="45"/>
      <c r="I392" s="45"/>
      <c r="J392" s="47">
        <f>J393</f>
        <v>0</v>
      </c>
      <c r="K392" s="47">
        <f>K393</f>
        <v>0</v>
      </c>
      <c r="L392" s="47">
        <f t="shared" si="79"/>
        <v>0</v>
      </c>
      <c r="M392" s="45">
        <f t="shared" ref="M392:N392" si="81">M393</f>
        <v>0</v>
      </c>
      <c r="N392" s="45">
        <f t="shared" si="81"/>
        <v>0</v>
      </c>
    </row>
    <row r="393" spans="1:17" ht="30" x14ac:dyDescent="0.25">
      <c r="A393" s="18"/>
      <c r="B393" s="22"/>
      <c r="C393" s="109"/>
      <c r="D393" s="148"/>
      <c r="E393" s="151" t="s">
        <v>641</v>
      </c>
      <c r="F393" s="39"/>
      <c r="G393" s="39">
        <v>50000</v>
      </c>
      <c r="H393" s="45"/>
      <c r="I393" s="45"/>
      <c r="J393" s="47">
        <f>50000-50000</f>
        <v>0</v>
      </c>
      <c r="K393" s="45"/>
      <c r="L393" s="47">
        <f t="shared" si="79"/>
        <v>0</v>
      </c>
      <c r="M393" s="39"/>
      <c r="N393" s="39"/>
    </row>
    <row r="394" spans="1:17" ht="105.6" customHeight="1" x14ac:dyDescent="0.25">
      <c r="A394" s="18"/>
      <c r="B394" s="22"/>
      <c r="C394" s="109" t="s">
        <v>233</v>
      </c>
      <c r="D394" s="146">
        <v>821220</v>
      </c>
      <c r="E394" s="139" t="s">
        <v>415</v>
      </c>
      <c r="F394" s="39">
        <v>14025</v>
      </c>
      <c r="G394" s="39">
        <v>250000</v>
      </c>
      <c r="H394" s="45"/>
      <c r="I394" s="45"/>
      <c r="J394" s="47">
        <f>300000-100000+50000-50000</f>
        <v>200000</v>
      </c>
      <c r="K394" s="45">
        <f>100000-50000</f>
        <v>50000</v>
      </c>
      <c r="L394" s="47">
        <f t="shared" si="79"/>
        <v>250000</v>
      </c>
      <c r="M394" s="39">
        <f>300000-100000</f>
        <v>200000</v>
      </c>
      <c r="N394" s="39">
        <f>300000-100000</f>
        <v>200000</v>
      </c>
      <c r="O394" s="756" t="s">
        <v>1198</v>
      </c>
    </row>
    <row r="395" spans="1:17" ht="192.75" customHeight="1" x14ac:dyDescent="0.25">
      <c r="A395" s="18"/>
      <c r="B395" s="22"/>
      <c r="C395" s="694"/>
      <c r="D395" s="698"/>
      <c r="E395" s="614" t="s">
        <v>489</v>
      </c>
      <c r="F395" s="39"/>
      <c r="G395" s="39">
        <v>71353</v>
      </c>
      <c r="H395" s="615"/>
      <c r="I395" s="615"/>
      <c r="J395" s="615"/>
      <c r="K395" s="615">
        <f>71353-21353</f>
        <v>50000</v>
      </c>
      <c r="L395" s="615">
        <f t="shared" si="79"/>
        <v>50000</v>
      </c>
      <c r="M395" s="39"/>
      <c r="N395" s="39"/>
      <c r="O395" s="804" t="s">
        <v>1083</v>
      </c>
    </row>
    <row r="396" spans="1:17" ht="29.25" customHeight="1" x14ac:dyDescent="0.25">
      <c r="A396" s="18"/>
      <c r="B396" s="22"/>
      <c r="C396" s="968" t="s">
        <v>553</v>
      </c>
      <c r="D396" s="969">
        <v>821220</v>
      </c>
      <c r="E396" s="933" t="s">
        <v>243</v>
      </c>
      <c r="F396" s="918">
        <v>442626</v>
      </c>
      <c r="G396" s="918">
        <v>400000</v>
      </c>
      <c r="H396" s="911"/>
      <c r="I396" s="911"/>
      <c r="J396" s="911">
        <f>J398+J399+J400+J401</f>
        <v>48000</v>
      </c>
      <c r="K396" s="911">
        <f>K398+K399+K400+K401</f>
        <v>963000</v>
      </c>
      <c r="L396" s="911">
        <f t="shared" si="79"/>
        <v>1011000</v>
      </c>
      <c r="M396" s="918">
        <f>500000-300000</f>
        <v>200000</v>
      </c>
      <c r="N396" s="918">
        <v>500000</v>
      </c>
    </row>
    <row r="397" spans="1:17" ht="90" x14ac:dyDescent="0.25">
      <c r="A397" s="18"/>
      <c r="B397" s="22"/>
      <c r="C397" s="543"/>
      <c r="D397" s="557"/>
      <c r="E397" s="558" t="s">
        <v>627</v>
      </c>
      <c r="F397" s="317"/>
      <c r="G397" s="317">
        <v>97452</v>
      </c>
      <c r="H397" s="333"/>
      <c r="I397" s="333"/>
      <c r="J397" s="333">
        <f>97452-97452</f>
        <v>0</v>
      </c>
      <c r="K397" s="333"/>
      <c r="L397" s="333">
        <f t="shared" si="79"/>
        <v>0</v>
      </c>
      <c r="M397" s="317"/>
      <c r="N397" s="317"/>
    </row>
    <row r="398" spans="1:17" ht="30" x14ac:dyDescent="0.25">
      <c r="A398" s="18"/>
      <c r="B398" s="22"/>
      <c r="C398" s="543"/>
      <c r="D398" s="557"/>
      <c r="E398" s="558" t="s">
        <v>1163</v>
      </c>
      <c r="F398" s="317"/>
      <c r="G398" s="317">
        <v>107000</v>
      </c>
      <c r="H398" s="333"/>
      <c r="I398" s="333"/>
      <c r="J398" s="333"/>
      <c r="K398" s="333">
        <f>107000</f>
        <v>107000</v>
      </c>
      <c r="L398" s="333">
        <f t="shared" si="79"/>
        <v>107000</v>
      </c>
      <c r="M398" s="317"/>
      <c r="N398" s="317"/>
    </row>
    <row r="399" spans="1:17" ht="51.6" customHeight="1" x14ac:dyDescent="0.25">
      <c r="A399" s="18"/>
      <c r="B399" s="22"/>
      <c r="C399" s="543"/>
      <c r="D399" s="557"/>
      <c r="E399" s="558" t="s">
        <v>487</v>
      </c>
      <c r="F399" s="317"/>
      <c r="G399" s="317"/>
      <c r="H399" s="333"/>
      <c r="I399" s="333"/>
      <c r="J399" s="333"/>
      <c r="K399" s="333"/>
      <c r="L399" s="333">
        <f t="shared" si="79"/>
        <v>0</v>
      </c>
      <c r="M399" s="317"/>
      <c r="N399" s="317"/>
    </row>
    <row r="400" spans="1:17" ht="30" customHeight="1" x14ac:dyDescent="0.25">
      <c r="A400" s="869"/>
      <c r="B400" s="22"/>
      <c r="C400" s="543"/>
      <c r="D400" s="557"/>
      <c r="E400" s="558" t="s">
        <v>297</v>
      </c>
      <c r="F400" s="317"/>
      <c r="G400" s="317">
        <v>170000</v>
      </c>
      <c r="H400" s="333"/>
      <c r="I400" s="333"/>
      <c r="J400" s="333">
        <v>38000</v>
      </c>
      <c r="K400" s="333">
        <v>226000</v>
      </c>
      <c r="L400" s="333">
        <f>H400+I400+J400+K400</f>
        <v>264000</v>
      </c>
      <c r="M400" s="317"/>
      <c r="N400" s="317"/>
      <c r="O400" s="756" t="s">
        <v>1199</v>
      </c>
      <c r="P400" s="966"/>
    </row>
    <row r="401" spans="1:17" ht="19.5" customHeight="1" x14ac:dyDescent="0.25">
      <c r="A401" s="18"/>
      <c r="B401" s="22"/>
      <c r="C401" s="543"/>
      <c r="D401" s="557"/>
      <c r="E401" s="558" t="s">
        <v>542</v>
      </c>
      <c r="F401" s="317"/>
      <c r="G401" s="317"/>
      <c r="H401" s="333"/>
      <c r="I401" s="333"/>
      <c r="J401" s="333">
        <f>370000-360000</f>
        <v>10000</v>
      </c>
      <c r="K401" s="333">
        <v>630000</v>
      </c>
      <c r="L401" s="333">
        <f t="shared" ref="L401" si="82">H401+I401+J401+K401</f>
        <v>640000</v>
      </c>
      <c r="M401" s="317"/>
      <c r="N401" s="317"/>
      <c r="O401" s="756" t="s">
        <v>1200</v>
      </c>
      <c r="Q401" s="756" t="s">
        <v>1164</v>
      </c>
    </row>
    <row r="402" spans="1:17" ht="31.5" customHeight="1" x14ac:dyDescent="0.25">
      <c r="A402" s="18"/>
      <c r="B402" s="22"/>
      <c r="C402" s="100" t="s">
        <v>233</v>
      </c>
      <c r="D402" s="100">
        <v>821220</v>
      </c>
      <c r="E402" s="245" t="s">
        <v>375</v>
      </c>
      <c r="F402" s="62">
        <v>359454</v>
      </c>
      <c r="G402" s="62">
        <f>225548-200000</f>
        <v>25548</v>
      </c>
      <c r="H402" s="47"/>
      <c r="I402" s="47">
        <f>1100000-(1100000*15%)-935000</f>
        <v>0</v>
      </c>
      <c r="J402" s="313">
        <v>300000</v>
      </c>
      <c r="K402" s="47"/>
      <c r="L402" s="47">
        <f t="shared" si="79"/>
        <v>300000</v>
      </c>
      <c r="M402" s="62">
        <f>218105+81895</f>
        <v>300000</v>
      </c>
      <c r="N402" s="62"/>
      <c r="O402" s="756" t="s">
        <v>1085</v>
      </c>
    </row>
    <row r="403" spans="1:17" x14ac:dyDescent="0.25">
      <c r="A403" s="18"/>
      <c r="B403" s="22"/>
      <c r="C403" s="109" t="s">
        <v>233</v>
      </c>
      <c r="D403" s="109">
        <v>821612</v>
      </c>
      <c r="E403" s="155" t="s">
        <v>244</v>
      </c>
      <c r="F403" s="47">
        <f t="shared" ref="F403:K403" si="83">F404+F405+F406</f>
        <v>873708</v>
      </c>
      <c r="G403" s="47">
        <f t="shared" si="83"/>
        <v>393650</v>
      </c>
      <c r="H403" s="45">
        <f t="shared" si="83"/>
        <v>100000</v>
      </c>
      <c r="I403" s="45">
        <f t="shared" si="83"/>
        <v>0</v>
      </c>
      <c r="J403" s="47">
        <f t="shared" si="83"/>
        <v>761436</v>
      </c>
      <c r="K403" s="45">
        <f t="shared" si="83"/>
        <v>53000</v>
      </c>
      <c r="L403" s="47">
        <f t="shared" si="79"/>
        <v>914436</v>
      </c>
      <c r="M403" s="47">
        <f>M404+M405+M406</f>
        <v>336489</v>
      </c>
      <c r="N403" s="879">
        <f>N404+N405+N406</f>
        <v>401000</v>
      </c>
    </row>
    <row r="404" spans="1:17" ht="48.75" customHeight="1" x14ac:dyDescent="0.25">
      <c r="A404" s="18"/>
      <c r="B404" s="22"/>
      <c r="C404" s="109"/>
      <c r="D404" s="109"/>
      <c r="E404" s="155" t="s">
        <v>298</v>
      </c>
      <c r="F404" s="62">
        <v>6810</v>
      </c>
      <c r="G404" s="62"/>
      <c r="H404" s="45"/>
      <c r="I404" s="45"/>
      <c r="J404" s="47"/>
      <c r="K404" s="45"/>
      <c r="L404" s="47">
        <f t="shared" si="79"/>
        <v>0</v>
      </c>
      <c r="M404" s="62"/>
      <c r="N404" s="62"/>
    </row>
    <row r="405" spans="1:17" ht="51" customHeight="1" x14ac:dyDescent="0.25">
      <c r="A405" s="18"/>
      <c r="B405" s="22"/>
      <c r="C405" s="109"/>
      <c r="D405" s="109"/>
      <c r="E405" s="646" t="s">
        <v>600</v>
      </c>
      <c r="F405" s="62"/>
      <c r="G405" s="62"/>
      <c r="H405" s="47"/>
      <c r="I405" s="47"/>
      <c r="J405" s="47"/>
      <c r="K405" s="47"/>
      <c r="L405" s="47">
        <f t="shared" si="79"/>
        <v>0</v>
      </c>
      <c r="M405" s="62"/>
      <c r="N405" s="62"/>
    </row>
    <row r="406" spans="1:17" ht="33" customHeight="1" x14ac:dyDescent="0.25">
      <c r="A406" s="18"/>
      <c r="B406" s="22"/>
      <c r="C406" s="109"/>
      <c r="D406" s="109"/>
      <c r="E406" s="155" t="s">
        <v>601</v>
      </c>
      <c r="F406" s="62">
        <v>866898</v>
      </c>
      <c r="G406" s="879">
        <f>G407+G408+G409+G410</f>
        <v>393650</v>
      </c>
      <c r="H406" s="879">
        <f>H407+H408+H409+H410</f>
        <v>100000</v>
      </c>
      <c r="I406" s="45"/>
      <c r="J406" s="47">
        <f>J407+J408+J409+J410</f>
        <v>761436</v>
      </c>
      <c r="K406" s="879">
        <f>K407+K408+K409+K410</f>
        <v>53000</v>
      </c>
      <c r="L406" s="47">
        <f t="shared" si="79"/>
        <v>914436</v>
      </c>
      <c r="M406" s="879">
        <f>M407+M408+M409+M410</f>
        <v>336489</v>
      </c>
      <c r="N406" s="879">
        <f>N407+N408+N409+N410</f>
        <v>401000</v>
      </c>
    </row>
    <row r="407" spans="1:17" ht="30" x14ac:dyDescent="0.25">
      <c r="A407" s="18"/>
      <c r="B407" s="22"/>
      <c r="C407" s="109"/>
      <c r="D407" s="109"/>
      <c r="E407" s="981" t="s">
        <v>1165</v>
      </c>
      <c r="F407" s="62"/>
      <c r="G407" s="62"/>
      <c r="H407" s="47"/>
      <c r="I407" s="47"/>
      <c r="J407" s="47">
        <v>219967</v>
      </c>
      <c r="K407" s="47"/>
      <c r="L407" s="47">
        <f t="shared" si="79"/>
        <v>219967</v>
      </c>
      <c r="M407" s="62"/>
      <c r="N407" s="62"/>
      <c r="O407" s="756" t="s">
        <v>1168</v>
      </c>
    </row>
    <row r="408" spans="1:17" ht="32.25" customHeight="1" x14ac:dyDescent="0.25">
      <c r="A408" s="869"/>
      <c r="B408" s="22"/>
      <c r="C408" s="109"/>
      <c r="D408" s="109"/>
      <c r="E408" s="981" t="s">
        <v>1166</v>
      </c>
      <c r="F408" s="885"/>
      <c r="G408" s="885"/>
      <c r="H408" s="879"/>
      <c r="I408" s="879"/>
      <c r="J408" s="879">
        <f>240088-43000</f>
        <v>197088</v>
      </c>
      <c r="K408" s="879">
        <v>43000</v>
      </c>
      <c r="L408" s="879">
        <f t="shared" si="79"/>
        <v>240088</v>
      </c>
      <c r="M408" s="885"/>
      <c r="N408" s="885"/>
      <c r="P408" s="984"/>
    </row>
    <row r="409" spans="1:17" ht="30" x14ac:dyDescent="0.25">
      <c r="A409" s="869"/>
      <c r="B409" s="22"/>
      <c r="C409" s="109"/>
      <c r="D409" s="109"/>
      <c r="E409" s="981" t="s">
        <v>1167</v>
      </c>
      <c r="F409" s="885"/>
      <c r="G409" s="885"/>
      <c r="H409" s="879"/>
      <c r="I409" s="879"/>
      <c r="J409" s="879">
        <f>59670-10000</f>
        <v>49670</v>
      </c>
      <c r="K409" s="879">
        <v>10000</v>
      </c>
      <c r="L409" s="879">
        <f t="shared" si="79"/>
        <v>59670</v>
      </c>
      <c r="M409" s="885"/>
      <c r="N409" s="885"/>
      <c r="P409" s="984"/>
    </row>
    <row r="410" spans="1:17" x14ac:dyDescent="0.25">
      <c r="A410" s="18"/>
      <c r="B410" s="22"/>
      <c r="C410" s="109"/>
      <c r="D410" s="109"/>
      <c r="E410" s="646" t="s">
        <v>1133</v>
      </c>
      <c r="F410" s="62"/>
      <c r="G410" s="62">
        <v>393650</v>
      </c>
      <c r="H410" s="47">
        <v>100000</v>
      </c>
      <c r="I410" s="47"/>
      <c r="J410" s="47">
        <v>294711</v>
      </c>
      <c r="K410" s="47"/>
      <c r="L410" s="47">
        <f t="shared" si="79"/>
        <v>394711</v>
      </c>
      <c r="M410" s="918">
        <f>861000-524511</f>
        <v>336489</v>
      </c>
      <c r="N410" s="918">
        <f>901000-500000</f>
        <v>401000</v>
      </c>
      <c r="O410" s="756" t="s">
        <v>1169</v>
      </c>
    </row>
    <row r="411" spans="1:17" ht="21" customHeight="1" x14ac:dyDescent="0.25">
      <c r="A411" s="18"/>
      <c r="B411" s="22"/>
      <c r="C411" s="335" t="s">
        <v>230</v>
      </c>
      <c r="D411" s="335">
        <v>821211</v>
      </c>
      <c r="E411" s="646" t="s">
        <v>404</v>
      </c>
      <c r="F411" s="885"/>
      <c r="G411" s="885">
        <v>160000</v>
      </c>
      <c r="H411" s="879"/>
      <c r="I411" s="879"/>
      <c r="J411" s="879">
        <v>160000</v>
      </c>
      <c r="K411" s="879"/>
      <c r="L411" s="879">
        <f t="shared" si="79"/>
        <v>160000</v>
      </c>
      <c r="M411" s="885"/>
      <c r="N411" s="885"/>
      <c r="O411" s="756" t="s">
        <v>1139</v>
      </c>
    </row>
    <row r="412" spans="1:17" ht="51" customHeight="1" x14ac:dyDescent="0.25">
      <c r="A412" s="18"/>
      <c r="B412" s="22"/>
      <c r="C412" s="898" t="s">
        <v>553</v>
      </c>
      <c r="D412" s="898">
        <v>821300</v>
      </c>
      <c r="E412" s="569" t="s">
        <v>1001</v>
      </c>
      <c r="F412" s="885"/>
      <c r="G412" s="885">
        <f>15000</f>
        <v>15000</v>
      </c>
      <c r="H412" s="879">
        <v>150000</v>
      </c>
      <c r="I412" s="879"/>
      <c r="J412" s="879"/>
      <c r="K412" s="879"/>
      <c r="L412" s="885">
        <f t="shared" si="79"/>
        <v>150000</v>
      </c>
      <c r="M412" s="885"/>
      <c r="N412" s="885"/>
      <c r="O412" s="938" t="s">
        <v>1000</v>
      </c>
    </row>
    <row r="413" spans="1:17" ht="34.9" customHeight="1" x14ac:dyDescent="0.25">
      <c r="A413" s="18"/>
      <c r="B413" s="22"/>
      <c r="C413" s="100" t="s">
        <v>553</v>
      </c>
      <c r="D413" s="37">
        <v>821300</v>
      </c>
      <c r="E413" s="569" t="s">
        <v>709</v>
      </c>
      <c r="F413" s="39"/>
      <c r="G413" s="39">
        <v>150000</v>
      </c>
      <c r="H413" s="47"/>
      <c r="I413" s="911">
        <f>150000+50000-200000</f>
        <v>0</v>
      </c>
      <c r="J413" s="313"/>
      <c r="K413" s="45"/>
      <c r="L413" s="62">
        <f t="shared" si="79"/>
        <v>0</v>
      </c>
      <c r="M413" s="39"/>
      <c r="N413" s="39"/>
      <c r="O413" s="756" t="s">
        <v>938</v>
      </c>
    </row>
    <row r="414" spans="1:17" ht="30.75" x14ac:dyDescent="0.25">
      <c r="A414" s="18"/>
      <c r="B414" s="22"/>
      <c r="C414" s="37" t="s">
        <v>230</v>
      </c>
      <c r="D414" s="37">
        <v>821614</v>
      </c>
      <c r="E414" s="44" t="s">
        <v>710</v>
      </c>
      <c r="F414" s="93">
        <v>43891</v>
      </c>
      <c r="G414" s="93">
        <v>20000</v>
      </c>
      <c r="H414" s="918">
        <f>H415+H416</f>
        <v>80000</v>
      </c>
      <c r="I414" s="39">
        <f>I415</f>
        <v>0</v>
      </c>
      <c r="J414" s="62">
        <f>J415</f>
        <v>0</v>
      </c>
      <c r="K414" s="62">
        <f>K415</f>
        <v>0</v>
      </c>
      <c r="L414" s="62">
        <f t="shared" si="79"/>
        <v>80000</v>
      </c>
      <c r="M414" s="93">
        <f>100000-50000</f>
        <v>50000</v>
      </c>
      <c r="N414" s="93">
        <f>100000-50000</f>
        <v>50000</v>
      </c>
      <c r="O414" s="756" t="s">
        <v>1025</v>
      </c>
    </row>
    <row r="415" spans="1:17" ht="29.25" customHeight="1" x14ac:dyDescent="0.25">
      <c r="A415" s="18"/>
      <c r="B415" s="22"/>
      <c r="C415" s="37"/>
      <c r="D415" s="106"/>
      <c r="E415" s="817" t="s">
        <v>1195</v>
      </c>
      <c r="F415" s="93"/>
      <c r="G415" s="93">
        <v>20000</v>
      </c>
      <c r="H415" s="62">
        <f>150000-130000</f>
        <v>20000</v>
      </c>
      <c r="I415" s="39"/>
      <c r="J415" s="62">
        <f>150000-41453+41453-150000</f>
        <v>0</v>
      </c>
      <c r="K415" s="39">
        <f>50000-50000</f>
        <v>0</v>
      </c>
      <c r="L415" s="110">
        <f t="shared" si="79"/>
        <v>20000</v>
      </c>
      <c r="M415" s="93">
        <f>100000-50000</f>
        <v>50000</v>
      </c>
      <c r="N415" s="93">
        <f>100000-50000</f>
        <v>50000</v>
      </c>
      <c r="O415" s="756" t="s">
        <v>1201</v>
      </c>
    </row>
    <row r="416" spans="1:17" x14ac:dyDescent="0.25">
      <c r="A416" s="869"/>
      <c r="B416" s="22"/>
      <c r="C416" s="874"/>
      <c r="D416" s="106"/>
      <c r="E416" s="578" t="s">
        <v>1100</v>
      </c>
      <c r="F416" s="895"/>
      <c r="G416" s="895"/>
      <c r="H416" s="879">
        <v>60000</v>
      </c>
      <c r="I416" s="878"/>
      <c r="J416" s="879"/>
      <c r="K416" s="878"/>
      <c r="L416" s="110">
        <f t="shared" si="79"/>
        <v>60000</v>
      </c>
      <c r="M416" s="895"/>
      <c r="N416" s="895"/>
      <c r="P416" s="976"/>
    </row>
    <row r="417" spans="1:17" x14ac:dyDescent="0.25">
      <c r="A417" s="18"/>
      <c r="B417" s="22"/>
      <c r="C417" s="109" t="s">
        <v>229</v>
      </c>
      <c r="D417" s="575">
        <v>821594</v>
      </c>
      <c r="E417" s="150" t="s">
        <v>645</v>
      </c>
      <c r="F417" s="62"/>
      <c r="G417" s="62">
        <v>30000</v>
      </c>
      <c r="H417" s="47">
        <f>35000-5000</f>
        <v>30000</v>
      </c>
      <c r="I417" s="47"/>
      <c r="J417" s="47"/>
      <c r="K417" s="47"/>
      <c r="L417" s="62">
        <f t="shared" si="79"/>
        <v>30000</v>
      </c>
      <c r="M417" s="62"/>
      <c r="N417" s="62"/>
    </row>
    <row r="418" spans="1:17" x14ac:dyDescent="0.25">
      <c r="A418" s="18"/>
      <c r="B418" s="22"/>
      <c r="C418" s="109" t="s">
        <v>553</v>
      </c>
      <c r="D418" s="575">
        <v>821594</v>
      </c>
      <c r="E418" s="150" t="s">
        <v>646</v>
      </c>
      <c r="F418" s="62"/>
      <c r="G418" s="62">
        <v>50000</v>
      </c>
      <c r="H418" s="47">
        <v>50000</v>
      </c>
      <c r="I418" s="45"/>
      <c r="J418" s="47"/>
      <c r="K418" s="45"/>
      <c r="L418" s="62">
        <f t="shared" si="79"/>
        <v>50000</v>
      </c>
      <c r="M418" s="62"/>
      <c r="N418" s="62"/>
    </row>
    <row r="419" spans="1:17" x14ac:dyDescent="0.25">
      <c r="A419" s="18"/>
      <c r="B419" s="22"/>
      <c r="C419" s="27"/>
      <c r="D419" s="27">
        <v>820000</v>
      </c>
      <c r="E419" s="55" t="s">
        <v>648</v>
      </c>
      <c r="F419" s="64">
        <f>F359+F392+F394+F396+F402+F403+F411+F412+F413+F414+F417+F418</f>
        <v>2814077</v>
      </c>
      <c r="G419" s="64">
        <f>G359+G392+G394+G396+G402+G403+G411+G412+G413+G414+G417+G418</f>
        <v>7516443</v>
      </c>
      <c r="H419" s="64">
        <f>H359+H392+H394+H396+H402+H403+H411+H412+H414+H417+H418</f>
        <v>410000</v>
      </c>
      <c r="I419" s="64">
        <f>I359+I392+I394+I396+I402+I403+I411+I412+I413+I414+I417+I418</f>
        <v>2633556</v>
      </c>
      <c r="J419" s="64">
        <f>J359+J392+J394+J396+J402+J403+J411+J412+J413+J414+J417+J418</f>
        <v>3339356.98</v>
      </c>
      <c r="K419" s="64">
        <f>K359+K392+K394+K396+K402+K403+K411+K412+K414+K417+K418</f>
        <v>2617652</v>
      </c>
      <c r="L419" s="64">
        <f>L359+L392+L394+L396+L402+L403+L411+L412+L413+L414+L417+L418</f>
        <v>9000564.9800000004</v>
      </c>
      <c r="M419" s="64">
        <f>M359+M392+M394+M396+M402+M403+M411+M412+M413+M414+M417+M418</f>
        <v>6501082</v>
      </c>
      <c r="N419" s="64">
        <f>N359+N392+N394+N396+N402+N403+N411+N412+N413+N414+N417+N418</f>
        <v>4021000</v>
      </c>
    </row>
    <row r="421" spans="1:17" x14ac:dyDescent="0.25">
      <c r="A421" s="18"/>
      <c r="B421" s="22"/>
      <c r="C421" s="29"/>
      <c r="D421" s="29"/>
      <c r="E421" s="91" t="s">
        <v>652</v>
      </c>
      <c r="F421" s="391">
        <f xml:space="preserve"> Korisnici!F290+Korisnici!F292+Korisnici!F304+Korisnici!F309+F357+F419</f>
        <v>3627329</v>
      </c>
      <c r="G421" s="391">
        <f xml:space="preserve"> Korisnici!G290+Korisnici!G292+Korisnici!G304+Korisnici!G309+G357+G419</f>
        <v>8677429</v>
      </c>
      <c r="H421" s="391">
        <f xml:space="preserve"> Korisnici!H290+Korisnici!H292+Korisnici!H304+Korisnici!H309+H357+H419</f>
        <v>858539.06</v>
      </c>
      <c r="I421" s="391">
        <f xml:space="preserve"> Korisnici!I290+Korisnici!I292+Korisnici!I304+Korisnici!I309+I357+I419</f>
        <v>2633556</v>
      </c>
      <c r="J421" s="391">
        <f xml:space="preserve"> Korisnici!J290+Korisnici!J292+Korisnici!J304+Korisnici!J309+J357+J419</f>
        <v>4107868.98</v>
      </c>
      <c r="K421" s="391">
        <f xml:space="preserve"> Korisnici!K290+Korisnici!K292+Korisnici!K304+Korisnici!K309+K357+K419</f>
        <v>2637652</v>
      </c>
      <c r="L421" s="391">
        <f xml:space="preserve"> Korisnici!L290+Korisnici!L292+Korisnici!L304+Korisnici!L309+L357+L419</f>
        <v>10237616.040000001</v>
      </c>
      <c r="M421" s="391">
        <f xml:space="preserve"> Korisnici!M290+Korisnici!M292+Korisnici!M304+Korisnici!M309+M357+M419</f>
        <v>7414262</v>
      </c>
      <c r="N421" s="391">
        <f xml:space="preserve"> Korisnici!N290+Korisnici!N292+Korisnici!N304+Korisnici!N309+N357+N419</f>
        <v>4941180</v>
      </c>
    </row>
    <row r="423" spans="1:17" ht="36.75" customHeight="1" x14ac:dyDescent="0.25">
      <c r="A423" s="18"/>
      <c r="B423" s="293">
        <v>1106</v>
      </c>
      <c r="C423" s="32"/>
      <c r="D423" s="66"/>
      <c r="E423" s="703" t="s">
        <v>650</v>
      </c>
      <c r="F423" s="33"/>
      <c r="G423" s="33"/>
      <c r="H423" s="120"/>
      <c r="I423" s="120"/>
      <c r="J423" s="368"/>
      <c r="K423" s="120"/>
      <c r="L423" s="33"/>
      <c r="M423" s="33"/>
      <c r="N423" s="33"/>
    </row>
    <row r="424" spans="1:17" x14ac:dyDescent="0.25">
      <c r="A424" s="18"/>
      <c r="B424" s="22"/>
      <c r="C424" s="32"/>
      <c r="D424" s="66"/>
      <c r="E424" s="32"/>
      <c r="F424" s="73"/>
      <c r="G424" s="73"/>
      <c r="H424" s="120"/>
      <c r="I424" s="120"/>
      <c r="J424" s="368"/>
      <c r="K424" s="120"/>
      <c r="L424" s="73"/>
      <c r="M424" s="73"/>
      <c r="N424" s="73"/>
    </row>
    <row r="425" spans="1:17" ht="30.75" x14ac:dyDescent="0.25">
      <c r="A425" s="18"/>
      <c r="B425" s="22"/>
      <c r="C425" s="37" t="s">
        <v>215</v>
      </c>
      <c r="D425" s="37">
        <v>611100</v>
      </c>
      <c r="E425" s="904" t="s">
        <v>1224</v>
      </c>
      <c r="F425" s="62">
        <v>235376</v>
      </c>
      <c r="G425" s="62">
        <v>267545</v>
      </c>
      <c r="H425" s="62">
        <f>34900*12+3968+(2735)*6+(51500)/2</f>
        <v>464928</v>
      </c>
      <c r="I425" s="39"/>
      <c r="J425" s="62"/>
      <c r="K425" s="39"/>
      <c r="L425" s="62">
        <f>H425+I425+J425+K425</f>
        <v>464928</v>
      </c>
      <c r="M425" s="62">
        <v>525000</v>
      </c>
      <c r="N425" s="62">
        <v>550000</v>
      </c>
      <c r="O425" s="756" t="s">
        <v>1217</v>
      </c>
      <c r="P425" s="755">
        <f>(3430+274+274+222)*12</f>
        <v>50400</v>
      </c>
      <c r="Q425" s="731" t="s">
        <v>1045</v>
      </c>
    </row>
    <row r="426" spans="1:17" x14ac:dyDescent="0.25">
      <c r="A426" s="18"/>
      <c r="B426" s="22"/>
      <c r="C426" s="37" t="s">
        <v>215</v>
      </c>
      <c r="D426" s="37">
        <v>611200</v>
      </c>
      <c r="E426" s="81" t="s">
        <v>382</v>
      </c>
      <c r="F426" s="39">
        <v>20081</v>
      </c>
      <c r="G426" s="39">
        <v>22423</v>
      </c>
      <c r="H426" s="300">
        <f>(14*22*9.3)*11+(14*450)+(237*11)+583+(1*22*9.3)*6+(1*450)+10000</f>
        <v>52676</v>
      </c>
      <c r="I426" s="45"/>
      <c r="J426" s="47"/>
      <c r="K426" s="45"/>
      <c r="L426" s="62">
        <f>H426+I426+J426+K426</f>
        <v>52676</v>
      </c>
      <c r="M426" s="39">
        <v>25000</v>
      </c>
      <c r="N426" s="39">
        <v>25000</v>
      </c>
    </row>
    <row r="427" spans="1:17" x14ac:dyDescent="0.25">
      <c r="A427" s="869"/>
      <c r="B427" s="22"/>
      <c r="C427" s="874"/>
      <c r="D427" s="874"/>
      <c r="E427" s="890" t="s">
        <v>1140</v>
      </c>
      <c r="F427" s="876"/>
      <c r="G427" s="876"/>
      <c r="H427" s="909">
        <f>2000*5</f>
        <v>10000</v>
      </c>
      <c r="I427" s="880"/>
      <c r="J427" s="909"/>
      <c r="K427" s="880"/>
      <c r="L427" s="885"/>
      <c r="M427" s="876"/>
      <c r="N427" s="876"/>
      <c r="O427" s="756" t="s">
        <v>1141</v>
      </c>
      <c r="P427" s="983"/>
    </row>
    <row r="428" spans="1:17" x14ac:dyDescent="0.25">
      <c r="A428" s="18"/>
      <c r="B428" s="22"/>
      <c r="C428" s="54" t="s">
        <v>215</v>
      </c>
      <c r="D428" s="27">
        <v>611000</v>
      </c>
      <c r="E428" s="55" t="s">
        <v>13</v>
      </c>
      <c r="F428" s="56">
        <f t="shared" ref="F428:G428" si="84">F425+F426</f>
        <v>255457</v>
      </c>
      <c r="G428" s="56">
        <f t="shared" si="84"/>
        <v>289968</v>
      </c>
      <c r="H428" s="64">
        <f>H425+H426</f>
        <v>517604</v>
      </c>
      <c r="I428" s="64">
        <f>I425+I426</f>
        <v>0</v>
      </c>
      <c r="J428" s="482">
        <f>J425+J426</f>
        <v>0</v>
      </c>
      <c r="K428" s="64">
        <f>K425+K426</f>
        <v>0</v>
      </c>
      <c r="L428" s="56">
        <f>L425+L426</f>
        <v>517604</v>
      </c>
      <c r="M428" s="56">
        <f t="shared" ref="M428:N428" si="85">M425+M426</f>
        <v>550000</v>
      </c>
      <c r="N428" s="56">
        <f t="shared" si="85"/>
        <v>575000</v>
      </c>
    </row>
    <row r="429" spans="1:17" ht="10.5" customHeight="1" x14ac:dyDescent="0.25">
      <c r="A429" s="18"/>
      <c r="B429" s="22"/>
      <c r="C429" s="29"/>
      <c r="D429" s="29"/>
      <c r="E429" s="30"/>
      <c r="F429" s="90"/>
      <c r="G429" s="90"/>
      <c r="H429" s="120"/>
      <c r="I429" s="120"/>
      <c r="J429" s="368"/>
      <c r="K429" s="120"/>
      <c r="L429" s="90"/>
      <c r="M429" s="90"/>
      <c r="N429" s="90"/>
    </row>
    <row r="430" spans="1:17" x14ac:dyDescent="0.25">
      <c r="A430" s="18"/>
      <c r="B430" s="22"/>
      <c r="C430" s="54" t="s">
        <v>215</v>
      </c>
      <c r="D430" s="27">
        <v>612111</v>
      </c>
      <c r="E430" s="55" t="s">
        <v>14</v>
      </c>
      <c r="F430" s="78">
        <v>24715</v>
      </c>
      <c r="G430" s="78">
        <v>29369</v>
      </c>
      <c r="H430" s="78">
        <f>3690*12+48+(287)*12+(5490)/2</f>
        <v>50517</v>
      </c>
      <c r="I430" s="78"/>
      <c r="J430" s="329"/>
      <c r="K430" s="78"/>
      <c r="L430" s="78">
        <f>H430+I430+J430+K430</f>
        <v>50517</v>
      </c>
      <c r="M430" s="78">
        <v>55000</v>
      </c>
      <c r="N430" s="78">
        <v>58000</v>
      </c>
      <c r="O430" s="756" t="s">
        <v>1044</v>
      </c>
      <c r="P430" s="755">
        <f>(360+29+29+24)*12</f>
        <v>5304</v>
      </c>
    </row>
    <row r="431" spans="1:17" ht="11.25" customHeight="1" x14ac:dyDescent="0.25">
      <c r="A431" s="18"/>
      <c r="B431" s="22"/>
      <c r="C431" s="29"/>
      <c r="D431" s="29"/>
      <c r="E431" s="30"/>
      <c r="F431" s="90"/>
      <c r="G431" s="90"/>
      <c r="H431" s="120"/>
      <c r="I431" s="120"/>
      <c r="J431" s="368"/>
      <c r="K431" s="120"/>
      <c r="L431" s="90"/>
      <c r="M431" s="90"/>
      <c r="N431" s="90"/>
    </row>
    <row r="432" spans="1:17" x14ac:dyDescent="0.25">
      <c r="A432" s="18"/>
      <c r="B432" s="22"/>
      <c r="C432" s="37" t="s">
        <v>215</v>
      </c>
      <c r="D432" s="37">
        <v>613100</v>
      </c>
      <c r="E432" s="38" t="s">
        <v>93</v>
      </c>
      <c r="F432" s="39">
        <v>43</v>
      </c>
      <c r="G432" s="39">
        <v>1000</v>
      </c>
      <c r="H432" s="39">
        <v>1000</v>
      </c>
      <c r="I432" s="39"/>
      <c r="J432" s="62"/>
      <c r="K432" s="39"/>
      <c r="L432" s="39">
        <f>H432+I432+J432+K432</f>
        <v>1000</v>
      </c>
      <c r="M432" s="39">
        <v>1000</v>
      </c>
      <c r="N432" s="39">
        <v>1000</v>
      </c>
    </row>
    <row r="433" spans="1:15" x14ac:dyDescent="0.25">
      <c r="A433" s="18"/>
      <c r="B433" s="22"/>
      <c r="C433" s="37" t="s">
        <v>215</v>
      </c>
      <c r="D433" s="52">
        <v>613300</v>
      </c>
      <c r="E433" s="38" t="s">
        <v>120</v>
      </c>
      <c r="F433" s="115">
        <f t="shared" ref="F433:G433" si="86">F434+F435</f>
        <v>1848</v>
      </c>
      <c r="G433" s="115">
        <f t="shared" si="86"/>
        <v>2500</v>
      </c>
      <c r="H433" s="115">
        <f>H434+H435</f>
        <v>3260</v>
      </c>
      <c r="I433" s="115">
        <f>I434+I435</f>
        <v>0</v>
      </c>
      <c r="J433" s="596">
        <f>J434+J435</f>
        <v>0</v>
      </c>
      <c r="K433" s="115">
        <f>K434+K435</f>
        <v>0</v>
      </c>
      <c r="L433" s="115">
        <f>L434+L435</f>
        <v>3260</v>
      </c>
      <c r="M433" s="115">
        <f t="shared" ref="M433:N433" si="87">M434+M435</f>
        <v>2500</v>
      </c>
      <c r="N433" s="115">
        <f t="shared" si="87"/>
        <v>2500</v>
      </c>
    </row>
    <row r="434" spans="1:15" x14ac:dyDescent="0.25">
      <c r="A434" s="18"/>
      <c r="B434" s="22"/>
      <c r="C434" s="37" t="s">
        <v>215</v>
      </c>
      <c r="D434" s="52">
        <v>613311</v>
      </c>
      <c r="E434" s="444" t="s">
        <v>344</v>
      </c>
      <c r="F434" s="39">
        <v>960</v>
      </c>
      <c r="G434" s="39">
        <v>1300</v>
      </c>
      <c r="H434" s="45">
        <f>1300+1000</f>
        <v>2300</v>
      </c>
      <c r="I434" s="45"/>
      <c r="J434" s="47"/>
      <c r="K434" s="45"/>
      <c r="L434" s="39">
        <f>H434+I434+J434+K434</f>
        <v>2300</v>
      </c>
      <c r="M434" s="39">
        <v>1300</v>
      </c>
      <c r="N434" s="39">
        <v>1300</v>
      </c>
    </row>
    <row r="435" spans="1:15" x14ac:dyDescent="0.25">
      <c r="A435" s="18"/>
      <c r="B435" s="22"/>
      <c r="C435" s="37" t="s">
        <v>215</v>
      </c>
      <c r="D435" s="52">
        <v>613313</v>
      </c>
      <c r="E435" s="444" t="s">
        <v>345</v>
      </c>
      <c r="F435" s="47">
        <v>888</v>
      </c>
      <c r="G435" s="47">
        <v>1200</v>
      </c>
      <c r="H435" s="47">
        <f>(50*12)+(30*12)</f>
        <v>960</v>
      </c>
      <c r="I435" s="45"/>
      <c r="J435" s="47"/>
      <c r="K435" s="45"/>
      <c r="L435" s="39">
        <f>H435+I435+J435+K435</f>
        <v>960</v>
      </c>
      <c r="M435" s="47">
        <v>1200</v>
      </c>
      <c r="N435" s="47">
        <v>1200</v>
      </c>
    </row>
    <row r="436" spans="1:15" ht="30" customHeight="1" x14ac:dyDescent="0.25">
      <c r="A436" s="18"/>
      <c r="B436" s="22"/>
      <c r="C436" s="37" t="s">
        <v>215</v>
      </c>
      <c r="D436" s="37">
        <v>613400</v>
      </c>
      <c r="E436" s="245" t="s">
        <v>374</v>
      </c>
      <c r="F436" s="39">
        <v>1252</v>
      </c>
      <c r="G436" s="39">
        <v>3000</v>
      </c>
      <c r="H436" s="45">
        <v>3000</v>
      </c>
      <c r="I436" s="45"/>
      <c r="J436" s="47"/>
      <c r="K436" s="45"/>
      <c r="L436" s="39">
        <f>H436+I436+J436+K436</f>
        <v>3000</v>
      </c>
      <c r="M436" s="39">
        <v>3000</v>
      </c>
      <c r="N436" s="39">
        <v>3000</v>
      </c>
    </row>
    <row r="437" spans="1:15" x14ac:dyDescent="0.25">
      <c r="A437" s="18"/>
      <c r="B437" s="22"/>
      <c r="C437" s="37" t="s">
        <v>215</v>
      </c>
      <c r="D437" s="37">
        <v>613900</v>
      </c>
      <c r="E437" s="38" t="s">
        <v>123</v>
      </c>
      <c r="F437" s="93">
        <f>F438+F439+F440+F441+F442</f>
        <v>901</v>
      </c>
      <c r="G437" s="93">
        <f>G438+G439+G440+G441+G442</f>
        <v>92084</v>
      </c>
      <c r="H437" s="93">
        <f>H438+H439+H440+H441</f>
        <v>44800</v>
      </c>
      <c r="I437" s="93">
        <f>I438+I439+I440+I441</f>
        <v>0</v>
      </c>
      <c r="J437" s="93">
        <f>J438+J439+J440+J441</f>
        <v>0</v>
      </c>
      <c r="K437" s="93">
        <f>K438+K439+K440+K441+K442</f>
        <v>120000</v>
      </c>
      <c r="L437" s="93">
        <f>L438+L439+L440+L441+L442</f>
        <v>164800</v>
      </c>
      <c r="M437" s="895">
        <f t="shared" ref="M437:N437" si="88">M438+M439+M440+M441+M442</f>
        <v>94800</v>
      </c>
      <c r="N437" s="895">
        <f t="shared" si="88"/>
        <v>94800</v>
      </c>
    </row>
    <row r="438" spans="1:15" x14ac:dyDescent="0.25">
      <c r="A438" s="18"/>
      <c r="B438" s="22"/>
      <c r="C438" s="37" t="s">
        <v>215</v>
      </c>
      <c r="D438" s="37">
        <v>613914</v>
      </c>
      <c r="E438" s="444" t="s">
        <v>523</v>
      </c>
      <c r="F438" s="93"/>
      <c r="G438" s="93">
        <v>1000</v>
      </c>
      <c r="H438" s="626">
        <v>1000</v>
      </c>
      <c r="I438" s="626"/>
      <c r="J438" s="627"/>
      <c r="K438" s="626"/>
      <c r="L438" s="39">
        <f t="shared" ref="L438:L445" si="89">H438+I438+J438+K438</f>
        <v>1000</v>
      </c>
      <c r="M438" s="93">
        <v>1000</v>
      </c>
      <c r="N438" s="93">
        <v>1000</v>
      </c>
    </row>
    <row r="439" spans="1:15" ht="30.75" x14ac:dyDescent="0.25">
      <c r="A439" s="18"/>
      <c r="B439" s="22"/>
      <c r="C439" s="37" t="s">
        <v>215</v>
      </c>
      <c r="D439" s="37">
        <v>613920</v>
      </c>
      <c r="E439" s="86" t="s">
        <v>2</v>
      </c>
      <c r="F439" s="96"/>
      <c r="G439" s="96">
        <f>1000-200</f>
        <v>800</v>
      </c>
      <c r="H439" s="45">
        <f>2000-1000-200</f>
        <v>800</v>
      </c>
      <c r="I439" s="45"/>
      <c r="J439" s="47"/>
      <c r="K439" s="45"/>
      <c r="L439" s="39">
        <f t="shared" si="89"/>
        <v>800</v>
      </c>
      <c r="M439" s="96">
        <f>1000-200</f>
        <v>800</v>
      </c>
      <c r="N439" s="96">
        <f>1000-200</f>
        <v>800</v>
      </c>
    </row>
    <row r="440" spans="1:15" ht="30.75" x14ac:dyDescent="0.25">
      <c r="A440" s="18"/>
      <c r="B440" s="22"/>
      <c r="C440" s="37" t="s">
        <v>215</v>
      </c>
      <c r="D440" s="37">
        <v>613940</v>
      </c>
      <c r="E440" s="116" t="s">
        <v>368</v>
      </c>
      <c r="F440" s="96">
        <v>901</v>
      </c>
      <c r="G440" s="96">
        <v>3000</v>
      </c>
      <c r="H440" s="45">
        <v>3000</v>
      </c>
      <c r="I440" s="45"/>
      <c r="J440" s="47"/>
      <c r="K440" s="45"/>
      <c r="L440" s="39">
        <f t="shared" si="89"/>
        <v>3000</v>
      </c>
      <c r="M440" s="96">
        <v>3000</v>
      </c>
      <c r="N440" s="96">
        <v>3000</v>
      </c>
    </row>
    <row r="441" spans="1:15" x14ac:dyDescent="0.25">
      <c r="A441" s="18"/>
      <c r="B441" s="22"/>
      <c r="C441" s="37" t="s">
        <v>215</v>
      </c>
      <c r="D441" s="37">
        <v>613991</v>
      </c>
      <c r="E441" s="444" t="s">
        <v>0</v>
      </c>
      <c r="F441" s="96"/>
      <c r="G441" s="96">
        <f>25000</f>
        <v>25000</v>
      </c>
      <c r="H441" s="47">
        <f>25000+15000</f>
        <v>40000</v>
      </c>
      <c r="I441" s="45"/>
      <c r="J441" s="47"/>
      <c r="K441" s="45"/>
      <c r="L441" s="62">
        <f t="shared" si="89"/>
        <v>40000</v>
      </c>
      <c r="M441" s="96">
        <f>25000+15000</f>
        <v>40000</v>
      </c>
      <c r="N441" s="96">
        <f>25000+15000</f>
        <v>40000</v>
      </c>
      <c r="O441" s="802" t="s">
        <v>886</v>
      </c>
    </row>
    <row r="442" spans="1:15" ht="45.75" x14ac:dyDescent="0.25">
      <c r="A442" s="18"/>
      <c r="B442" s="22"/>
      <c r="C442" s="450" t="s">
        <v>215</v>
      </c>
      <c r="D442" s="450">
        <v>613991</v>
      </c>
      <c r="E442" s="648" t="s">
        <v>1081</v>
      </c>
      <c r="F442" s="449">
        <f>F443+F444+F445</f>
        <v>0</v>
      </c>
      <c r="G442" s="449">
        <f>G443+G444+G445</f>
        <v>62284</v>
      </c>
      <c r="H442" s="452">
        <f>H443</f>
        <v>0</v>
      </c>
      <c r="I442" s="452"/>
      <c r="J442" s="452"/>
      <c r="K442" s="452">
        <v>120000</v>
      </c>
      <c r="L442" s="449">
        <f t="shared" si="89"/>
        <v>120000</v>
      </c>
      <c r="M442" s="62">
        <v>50000</v>
      </c>
      <c r="N442" s="62">
        <v>50000</v>
      </c>
      <c r="O442" s="756" t="s">
        <v>1082</v>
      </c>
    </row>
    <row r="443" spans="1:15" ht="45.75" x14ac:dyDescent="0.25">
      <c r="A443" s="18"/>
      <c r="B443" s="22"/>
      <c r="C443" s="37" t="s">
        <v>215</v>
      </c>
      <c r="D443" s="450"/>
      <c r="E443" s="275" t="s">
        <v>408</v>
      </c>
      <c r="F443" s="140"/>
      <c r="G443" s="140">
        <v>25284</v>
      </c>
      <c r="H443" s="453"/>
      <c r="I443" s="453"/>
      <c r="J443" s="453">
        <f>0</f>
        <v>0</v>
      </c>
      <c r="K443" s="453"/>
      <c r="L443" s="449">
        <f t="shared" si="89"/>
        <v>0</v>
      </c>
      <c r="M443" s="117"/>
      <c r="N443" s="117"/>
    </row>
    <row r="444" spans="1:15" ht="60.75" x14ac:dyDescent="0.25">
      <c r="A444" s="18"/>
      <c r="B444" s="22"/>
      <c r="C444" s="37" t="s">
        <v>215</v>
      </c>
      <c r="D444" s="450"/>
      <c r="E444" s="648" t="s">
        <v>309</v>
      </c>
      <c r="F444" s="140"/>
      <c r="G444" s="140">
        <v>17000</v>
      </c>
      <c r="H444" s="453"/>
      <c r="I444" s="453"/>
      <c r="J444" s="453"/>
      <c r="K444" s="453"/>
      <c r="L444" s="449">
        <f t="shared" si="89"/>
        <v>0</v>
      </c>
      <c r="M444" s="117"/>
      <c r="N444" s="117"/>
    </row>
    <row r="445" spans="1:15" ht="45.75" x14ac:dyDescent="0.25">
      <c r="A445" s="18"/>
      <c r="B445" s="22"/>
      <c r="C445" s="37" t="s">
        <v>215</v>
      </c>
      <c r="D445" s="450"/>
      <c r="E445" s="648" t="s">
        <v>558</v>
      </c>
      <c r="F445" s="140"/>
      <c r="G445" s="140">
        <v>20000</v>
      </c>
      <c r="H445" s="453"/>
      <c r="I445" s="453"/>
      <c r="J445" s="453"/>
      <c r="K445" s="453"/>
      <c r="L445" s="449">
        <f t="shared" si="89"/>
        <v>0</v>
      </c>
      <c r="M445" s="117"/>
      <c r="N445" s="117"/>
    </row>
    <row r="446" spans="1:15" x14ac:dyDescent="0.25">
      <c r="A446" s="18"/>
      <c r="B446" s="22"/>
      <c r="C446" s="54" t="s">
        <v>215</v>
      </c>
      <c r="D446" s="27">
        <v>613000</v>
      </c>
      <c r="E446" s="55" t="s">
        <v>15</v>
      </c>
      <c r="F446" s="56">
        <f t="shared" ref="F446:G446" si="90">F432+F433+F436+F437</f>
        <v>4044</v>
      </c>
      <c r="G446" s="56">
        <f t="shared" si="90"/>
        <v>98584</v>
      </c>
      <c r="H446" s="56">
        <f>H432+H433+H436+H437</f>
        <v>52060</v>
      </c>
      <c r="I446" s="56">
        <f>I432+I433+I436+I437</f>
        <v>0</v>
      </c>
      <c r="J446" s="485">
        <f>J432+J433+J436+J437</f>
        <v>0</v>
      </c>
      <c r="K446" s="56">
        <f>K432+K433+K436+K437</f>
        <v>120000</v>
      </c>
      <c r="L446" s="56">
        <f>L432+L433+L436+L437</f>
        <v>172060</v>
      </c>
      <c r="M446" s="56">
        <f t="shared" ref="M446:N446" si="91">M432+M433+M436+M437</f>
        <v>101300</v>
      </c>
      <c r="N446" s="56">
        <f t="shared" si="91"/>
        <v>101300</v>
      </c>
    </row>
    <row r="447" spans="1:15" x14ac:dyDescent="0.25">
      <c r="A447" s="18"/>
      <c r="B447" s="22"/>
      <c r="C447" s="29"/>
      <c r="D447" s="29"/>
      <c r="E447" s="30"/>
      <c r="F447" s="90"/>
      <c r="G447" s="90"/>
      <c r="H447" s="120"/>
      <c r="I447" s="120"/>
      <c r="J447" s="368"/>
      <c r="K447" s="120"/>
      <c r="L447" s="90"/>
      <c r="M447" s="90"/>
      <c r="N447" s="90"/>
    </row>
    <row r="448" spans="1:15" x14ac:dyDescent="0.25">
      <c r="A448" s="18"/>
      <c r="B448" s="266"/>
      <c r="C448" s="43" t="s">
        <v>226</v>
      </c>
      <c r="D448" s="37">
        <v>614414</v>
      </c>
      <c r="E448" s="38" t="s">
        <v>529</v>
      </c>
      <c r="F448" s="39">
        <f>F449+F450+F451</f>
        <v>115400</v>
      </c>
      <c r="G448" s="39">
        <f t="shared" ref="G448:K448" si="92">G449+G451</f>
        <v>52100</v>
      </c>
      <c r="H448" s="39">
        <f t="shared" si="92"/>
        <v>30000</v>
      </c>
      <c r="I448" s="39">
        <f t="shared" si="92"/>
        <v>0</v>
      </c>
      <c r="J448" s="39">
        <f t="shared" si="92"/>
        <v>0</v>
      </c>
      <c r="K448" s="39">
        <f t="shared" si="92"/>
        <v>38000</v>
      </c>
      <c r="L448" s="39">
        <f t="shared" ref="L448:L455" si="93">H448+I448+J448+K448</f>
        <v>68000</v>
      </c>
      <c r="M448" s="39">
        <f>M449+M451</f>
        <v>60000</v>
      </c>
      <c r="N448" s="39">
        <f>N449+N451</f>
        <v>60000</v>
      </c>
    </row>
    <row r="449" spans="1:16" ht="28.5" customHeight="1" x14ac:dyDescent="0.25">
      <c r="A449" s="18"/>
      <c r="B449" s="22"/>
      <c r="C449" s="43"/>
      <c r="D449" s="52"/>
      <c r="E449" s="101" t="s">
        <v>531</v>
      </c>
      <c r="F449" s="105">
        <v>54600</v>
      </c>
      <c r="G449" s="105">
        <f>50000+10000-30000</f>
        <v>30000</v>
      </c>
      <c r="H449" s="53">
        <f>50000+10000-30000</f>
        <v>30000</v>
      </c>
      <c r="I449" s="53"/>
      <c r="J449" s="53"/>
      <c r="K449" s="53"/>
      <c r="L449" s="105">
        <f t="shared" si="93"/>
        <v>30000</v>
      </c>
      <c r="M449" s="105">
        <f>50000+10000-30000</f>
        <v>30000</v>
      </c>
      <c r="N449" s="105">
        <f>50000+10000-30000</f>
        <v>30000</v>
      </c>
    </row>
    <row r="450" spans="1:16" ht="28.5" customHeight="1" x14ac:dyDescent="0.25">
      <c r="A450" s="18"/>
      <c r="B450" s="22"/>
      <c r="C450" s="43"/>
      <c r="D450" s="52"/>
      <c r="E450" s="524" t="s">
        <v>954</v>
      </c>
      <c r="F450" s="105">
        <v>40000</v>
      </c>
      <c r="G450" s="105"/>
      <c r="H450" s="53"/>
      <c r="I450" s="53"/>
      <c r="J450" s="53"/>
      <c r="K450" s="53"/>
      <c r="L450" s="105"/>
      <c r="M450" s="105"/>
      <c r="N450" s="105"/>
      <c r="P450" s="831"/>
    </row>
    <row r="451" spans="1:16" ht="63" customHeight="1" x14ac:dyDescent="0.25">
      <c r="A451" s="303"/>
      <c r="B451" s="304"/>
      <c r="C451" s="489"/>
      <c r="D451" s="486"/>
      <c r="E451" s="607" t="s">
        <v>360</v>
      </c>
      <c r="F451" s="488">
        <v>20800</v>
      </c>
      <c r="G451" s="488">
        <v>22100</v>
      </c>
      <c r="H451" s="490"/>
      <c r="I451" s="490"/>
      <c r="J451" s="490"/>
      <c r="K451" s="490">
        <v>38000</v>
      </c>
      <c r="L451" s="488">
        <f t="shared" si="93"/>
        <v>38000</v>
      </c>
      <c r="M451" s="488">
        <f>22100+7900</f>
        <v>30000</v>
      </c>
      <c r="N451" s="488">
        <f>22100+7900</f>
        <v>30000</v>
      </c>
      <c r="O451" s="756" t="s">
        <v>1082</v>
      </c>
    </row>
    <row r="452" spans="1:16" ht="45.75" x14ac:dyDescent="0.25">
      <c r="A452" s="18"/>
      <c r="B452" s="22"/>
      <c r="C452" s="43" t="s">
        <v>218</v>
      </c>
      <c r="D452" s="52">
        <v>614539</v>
      </c>
      <c r="E452" s="245" t="s">
        <v>505</v>
      </c>
      <c r="F452" s="123"/>
      <c r="G452" s="123">
        <v>5000</v>
      </c>
      <c r="H452" s="47">
        <v>5000</v>
      </c>
      <c r="I452" s="45"/>
      <c r="J452" s="47"/>
      <c r="K452" s="47"/>
      <c r="L452" s="39">
        <f t="shared" si="93"/>
        <v>5000</v>
      </c>
      <c r="M452" s="105"/>
      <c r="N452" s="105"/>
    </row>
    <row r="453" spans="1:16" ht="63" customHeight="1" x14ac:dyDescent="0.25">
      <c r="A453" s="18"/>
      <c r="B453" s="22"/>
      <c r="C453" s="43" t="s">
        <v>218</v>
      </c>
      <c r="D453" s="52">
        <v>614539</v>
      </c>
      <c r="E453" s="817" t="s">
        <v>1135</v>
      </c>
      <c r="F453" s="123"/>
      <c r="G453" s="123">
        <v>20000</v>
      </c>
      <c r="H453" s="47">
        <f>30000-10000</f>
        <v>20000</v>
      </c>
      <c r="I453" s="45"/>
      <c r="J453" s="47"/>
      <c r="K453" s="47"/>
      <c r="L453" s="39">
        <f t="shared" si="93"/>
        <v>20000</v>
      </c>
      <c r="M453" s="105">
        <v>30000</v>
      </c>
      <c r="N453" s="105">
        <f>20000+10000</f>
        <v>30000</v>
      </c>
      <c r="O453" s="756" t="s">
        <v>1136</v>
      </c>
    </row>
    <row r="454" spans="1:16" ht="45.75" x14ac:dyDescent="0.25">
      <c r="A454" s="18"/>
      <c r="B454" s="22"/>
      <c r="C454" s="43" t="s">
        <v>218</v>
      </c>
      <c r="D454" s="52">
        <v>614539</v>
      </c>
      <c r="E454" s="245" t="s">
        <v>498</v>
      </c>
      <c r="F454" s="123">
        <v>14400</v>
      </c>
      <c r="G454" s="123"/>
      <c r="H454" s="47"/>
      <c r="I454" s="47"/>
      <c r="J454" s="47"/>
      <c r="K454" s="47"/>
      <c r="L454" s="62">
        <f t="shared" si="93"/>
        <v>0</v>
      </c>
      <c r="M454" s="105"/>
      <c r="N454" s="105"/>
    </row>
    <row r="455" spans="1:16" ht="30.75" x14ac:dyDescent="0.25">
      <c r="A455" s="701"/>
      <c r="B455" s="291"/>
      <c r="C455" s="100" t="s">
        <v>215</v>
      </c>
      <c r="D455" s="100">
        <v>614811</v>
      </c>
      <c r="E455" s="245" t="s">
        <v>339</v>
      </c>
      <c r="F455" s="110"/>
      <c r="G455" s="110">
        <v>1000</v>
      </c>
      <c r="H455" s="62">
        <v>1000</v>
      </c>
      <c r="I455" s="62"/>
      <c r="J455" s="62"/>
      <c r="K455" s="62"/>
      <c r="L455" s="62">
        <f t="shared" si="93"/>
        <v>1000</v>
      </c>
      <c r="M455" s="110">
        <v>1000</v>
      </c>
      <c r="N455" s="110">
        <v>1000</v>
      </c>
    </row>
    <row r="456" spans="1:16" x14ac:dyDescent="0.25">
      <c r="A456" s="701"/>
      <c r="B456" s="291"/>
      <c r="C456" s="27"/>
      <c r="D456" s="27">
        <v>614000</v>
      </c>
      <c r="E456" s="55" t="s">
        <v>90</v>
      </c>
      <c r="F456" s="56">
        <f t="shared" ref="F456" si="94">F448+F452+F453+F454+F455</f>
        <v>129800</v>
      </c>
      <c r="G456" s="56">
        <f t="shared" ref="G456:N456" si="95">G448+G452+G453+G454+G455</f>
        <v>78100</v>
      </c>
      <c r="H456" s="56">
        <f t="shared" si="95"/>
        <v>56000</v>
      </c>
      <c r="I456" s="56">
        <f t="shared" si="95"/>
        <v>0</v>
      </c>
      <c r="J456" s="56">
        <f t="shared" si="95"/>
        <v>0</v>
      </c>
      <c r="K456" s="56">
        <f t="shared" si="95"/>
        <v>38000</v>
      </c>
      <c r="L456" s="56">
        <f>L448+L452+L453+L454+L455</f>
        <v>94000</v>
      </c>
      <c r="M456" s="56">
        <f t="shared" si="95"/>
        <v>91000</v>
      </c>
      <c r="N456" s="56">
        <f t="shared" si="95"/>
        <v>91000</v>
      </c>
    </row>
    <row r="457" spans="1:16" ht="9.75" customHeight="1" x14ac:dyDescent="0.25">
      <c r="A457" s="701"/>
      <c r="B457" s="291"/>
      <c r="C457" s="243"/>
      <c r="D457" s="243"/>
      <c r="E457" s="314"/>
      <c r="F457" s="244"/>
      <c r="G457" s="244"/>
      <c r="H457" s="244"/>
      <c r="I457" s="244"/>
      <c r="J457" s="244"/>
      <c r="K457" s="244"/>
      <c r="L457" s="244"/>
      <c r="M457" s="769"/>
      <c r="N457" s="769"/>
    </row>
    <row r="458" spans="1:16" ht="53.25" customHeight="1" x14ac:dyDescent="0.25">
      <c r="A458" s="701"/>
      <c r="B458" s="291"/>
      <c r="C458" s="52" t="s">
        <v>222</v>
      </c>
      <c r="D458" s="37">
        <v>615311</v>
      </c>
      <c r="E458" s="142" t="s">
        <v>532</v>
      </c>
      <c r="F458" s="39">
        <v>18000</v>
      </c>
      <c r="G458" s="39">
        <v>10000</v>
      </c>
      <c r="H458" s="553"/>
      <c r="I458" s="553"/>
      <c r="J458" s="553"/>
      <c r="K458" s="553"/>
      <c r="L458" s="553">
        <f>H458+I458+J458+K458</f>
        <v>0</v>
      </c>
      <c r="M458" s="553"/>
      <c r="N458" s="553"/>
    </row>
    <row r="459" spans="1:16" ht="9.75" customHeight="1" x14ac:dyDescent="0.25">
      <c r="A459" s="701"/>
      <c r="B459" s="291"/>
      <c r="C459" s="243"/>
      <c r="D459" s="243"/>
      <c r="E459" s="314"/>
      <c r="F459" s="244"/>
      <c r="G459" s="244"/>
      <c r="H459" s="244"/>
      <c r="I459" s="244"/>
      <c r="J459" s="244"/>
      <c r="K459" s="244"/>
      <c r="L459" s="244"/>
      <c r="M459" s="244"/>
      <c r="N459" s="244"/>
    </row>
    <row r="460" spans="1:16" x14ac:dyDescent="0.25">
      <c r="A460" s="18"/>
      <c r="B460" s="22"/>
      <c r="C460" s="109" t="s">
        <v>215</v>
      </c>
      <c r="D460" s="645">
        <v>821300</v>
      </c>
      <c r="E460" s="537" t="s">
        <v>613</v>
      </c>
      <c r="F460" s="117"/>
      <c r="G460" s="117">
        <v>3000</v>
      </c>
      <c r="H460" s="62">
        <f>5000-2000</f>
        <v>3000</v>
      </c>
      <c r="I460" s="62"/>
      <c r="J460" s="117"/>
      <c r="K460" s="117"/>
      <c r="L460" s="62">
        <f>H460+I460+J460+K460</f>
        <v>3000</v>
      </c>
      <c r="M460" s="117"/>
      <c r="N460" s="117"/>
    </row>
    <row r="461" spans="1:16" x14ac:dyDescent="0.25">
      <c r="A461" s="18"/>
      <c r="B461" s="22"/>
      <c r="C461" s="450" t="s">
        <v>605</v>
      </c>
      <c r="D461" s="450">
        <v>821500</v>
      </c>
      <c r="E461" s="451" t="s">
        <v>574</v>
      </c>
      <c r="F461" s="449"/>
      <c r="G461" s="449">
        <v>157716</v>
      </c>
      <c r="H461" s="449">
        <f>H462</f>
        <v>0</v>
      </c>
      <c r="I461" s="449"/>
      <c r="J461" s="449"/>
      <c r="K461" s="449">
        <f>K462</f>
        <v>22400</v>
      </c>
      <c r="L461" s="449">
        <f>H461+I461+J461+K461</f>
        <v>22400</v>
      </c>
      <c r="M461" s="62">
        <v>50000</v>
      </c>
      <c r="N461" s="62">
        <v>50000</v>
      </c>
      <c r="O461" s="756" t="s">
        <v>1084</v>
      </c>
    </row>
    <row r="462" spans="1:16" ht="47.45" customHeight="1" x14ac:dyDescent="0.25">
      <c r="A462" s="18"/>
      <c r="B462" s="22"/>
      <c r="C462" s="491"/>
      <c r="D462" s="491"/>
      <c r="E462" s="492" t="s">
        <v>390</v>
      </c>
      <c r="F462" s="493"/>
      <c r="G462" s="493">
        <v>157716</v>
      </c>
      <c r="H462" s="494"/>
      <c r="I462" s="494"/>
      <c r="J462" s="494">
        <f>J272</f>
        <v>0</v>
      </c>
      <c r="K462" s="494">
        <f>157716-(157716-22400)</f>
        <v>22400</v>
      </c>
      <c r="L462" s="495">
        <f>H462+I462+J462+K462</f>
        <v>22400</v>
      </c>
      <c r="M462" s="522">
        <v>50000</v>
      </c>
      <c r="N462" s="522">
        <v>50000</v>
      </c>
    </row>
    <row r="464" spans="1:16" x14ac:dyDescent="0.25">
      <c r="A464" s="18"/>
      <c r="B464" s="22"/>
      <c r="C464" s="29"/>
      <c r="D464" s="29"/>
      <c r="E464" s="91" t="s">
        <v>653</v>
      </c>
      <c r="F464" s="56">
        <f>Korisnici!F428+Korisnici!F430+Korisnici!F446+F456+F458+F460+F461</f>
        <v>432016</v>
      </c>
      <c r="G464" s="56">
        <f>Korisnici!G428+Korisnici!G430+Korisnici!G446+G456+G458+G460+G461</f>
        <v>666737</v>
      </c>
      <c r="H464" s="56">
        <f>H428+H430+H446+H456+H458+H460</f>
        <v>679181</v>
      </c>
      <c r="I464" s="56">
        <f>Korisnici!I428+Korisnici!I430+Korisnici!I446+I456+I458+I460+I461</f>
        <v>0</v>
      </c>
      <c r="J464" s="56">
        <f>Korisnici!J428+Korisnici!J430+Korisnici!J446+J456+J458+J460+J461</f>
        <v>0</v>
      </c>
      <c r="K464" s="56">
        <f>Korisnici!K428+Korisnici!K430+Korisnici!K446+K456+K458+K460+K461</f>
        <v>180400</v>
      </c>
      <c r="L464" s="56">
        <f>Korisnici!L428+Korisnici!L430+Korisnici!L446+L456+L458+L460+L461</f>
        <v>859581</v>
      </c>
      <c r="M464" s="56">
        <f>Korisnici!M428+Korisnici!M430+Korisnici!M446+M456+M458+M460+M461</f>
        <v>847300</v>
      </c>
      <c r="N464" s="56">
        <f>Korisnici!N428+Korisnici!N430+Korisnici!N446+N456+N458+N460+N461</f>
        <v>875300</v>
      </c>
    </row>
    <row r="466" spans="1:16" ht="30.75" customHeight="1" x14ac:dyDescent="0.25">
      <c r="A466" s="17"/>
      <c r="B466" s="295">
        <v>1107</v>
      </c>
      <c r="C466" s="32"/>
      <c r="D466" s="66"/>
      <c r="E466" s="75" t="s">
        <v>629</v>
      </c>
      <c r="F466" s="33"/>
      <c r="G466" s="33"/>
      <c r="H466" s="120"/>
      <c r="I466" s="120"/>
      <c r="J466" s="368"/>
      <c r="K466" s="120"/>
      <c r="L466" s="33"/>
      <c r="M466" s="33"/>
      <c r="N466" s="33"/>
    </row>
    <row r="467" spans="1:16" x14ac:dyDescent="0.25">
      <c r="A467" s="18"/>
      <c r="B467" s="22"/>
      <c r="C467" s="32"/>
      <c r="D467" s="66"/>
      <c r="E467" s="32"/>
      <c r="F467" s="73"/>
      <c r="G467" s="73"/>
      <c r="H467" s="120"/>
      <c r="I467" s="120"/>
      <c r="J467" s="368"/>
      <c r="K467" s="120"/>
      <c r="L467" s="73"/>
      <c r="M467" s="73"/>
      <c r="N467" s="73"/>
    </row>
    <row r="468" spans="1:16" ht="21" customHeight="1" x14ac:dyDescent="0.25">
      <c r="A468" s="18"/>
      <c r="B468" s="22"/>
      <c r="C468" s="37" t="s">
        <v>215</v>
      </c>
      <c r="D468" s="37">
        <v>611100</v>
      </c>
      <c r="E468" s="44" t="s">
        <v>911</v>
      </c>
      <c r="F468" s="62">
        <v>379703</v>
      </c>
      <c r="G468" s="62">
        <v>485338</v>
      </c>
      <c r="H468" s="62">
        <f>15520*12+1760+(18800)/2</f>
        <v>197400</v>
      </c>
      <c r="I468" s="39"/>
      <c r="J468" s="62"/>
      <c r="K468" s="39"/>
      <c r="L468" s="62">
        <f>H468+I468+J468+K468</f>
        <v>197400</v>
      </c>
      <c r="M468" s="62">
        <v>200000</v>
      </c>
      <c r="N468" s="62">
        <v>220000</v>
      </c>
      <c r="O468" s="756" t="s">
        <v>1044</v>
      </c>
      <c r="P468" s="755">
        <v>18800</v>
      </c>
    </row>
    <row r="469" spans="1:16" x14ac:dyDescent="0.25">
      <c r="A469" s="18"/>
      <c r="B469" s="22"/>
      <c r="C469" s="37" t="s">
        <v>215</v>
      </c>
      <c r="D469" s="37">
        <v>611200</v>
      </c>
      <c r="E469" s="38" t="s">
        <v>12</v>
      </c>
      <c r="F469" s="39">
        <v>42432</v>
      </c>
      <c r="G469" s="39">
        <v>56460</v>
      </c>
      <c r="H469" s="48">
        <f>(7*22*9.3)*11+(7*450)+(430*12)</f>
        <v>24064.2</v>
      </c>
      <c r="I469" s="45"/>
      <c r="J469" s="47"/>
      <c r="K469" s="45"/>
      <c r="L469" s="62">
        <f>H469+I469+J469+K469</f>
        <v>24064.2</v>
      </c>
      <c r="M469" s="39">
        <f>34000+14000</f>
        <v>48000</v>
      </c>
      <c r="N469" s="39">
        <f>34000+14000</f>
        <v>48000</v>
      </c>
    </row>
    <row r="470" spans="1:16" x14ac:dyDescent="0.25">
      <c r="A470" s="18"/>
      <c r="B470" s="22"/>
      <c r="C470" s="54" t="s">
        <v>215</v>
      </c>
      <c r="D470" s="27">
        <v>611000</v>
      </c>
      <c r="E470" s="55" t="s">
        <v>13</v>
      </c>
      <c r="F470" s="56">
        <f t="shared" ref="F470:G470" si="96">F468+F469</f>
        <v>422135</v>
      </c>
      <c r="G470" s="56">
        <f t="shared" si="96"/>
        <v>541798</v>
      </c>
      <c r="H470" s="64">
        <f>H468+H469</f>
        <v>221464.2</v>
      </c>
      <c r="I470" s="64">
        <f>I468+I469</f>
        <v>0</v>
      </c>
      <c r="J470" s="482">
        <f>J468+J469</f>
        <v>0</v>
      </c>
      <c r="K470" s="64">
        <f>K468+K469</f>
        <v>0</v>
      </c>
      <c r="L470" s="56">
        <f>L468+L469</f>
        <v>221464.2</v>
      </c>
      <c r="M470" s="56">
        <f t="shared" ref="M470:N470" si="97">M468+M469</f>
        <v>248000</v>
      </c>
      <c r="N470" s="56">
        <f t="shared" si="97"/>
        <v>268000</v>
      </c>
    </row>
    <row r="471" spans="1:16" x14ac:dyDescent="0.25">
      <c r="A471" s="18"/>
      <c r="B471" s="22"/>
      <c r="C471" s="29"/>
      <c r="D471" s="29"/>
      <c r="E471" s="30"/>
      <c r="F471" s="90"/>
      <c r="G471" s="90"/>
      <c r="H471" s="120"/>
      <c r="I471" s="120"/>
      <c r="J471" s="368"/>
      <c r="K471" s="120"/>
      <c r="L471" s="90"/>
      <c r="M471" s="90"/>
      <c r="N471" s="90"/>
    </row>
    <row r="472" spans="1:16" x14ac:dyDescent="0.25">
      <c r="A472" s="18"/>
      <c r="B472" s="22"/>
      <c r="C472" s="54" t="s">
        <v>215</v>
      </c>
      <c r="D472" s="27">
        <v>612111</v>
      </c>
      <c r="E472" s="55" t="s">
        <v>14</v>
      </c>
      <c r="F472" s="78">
        <v>41899</v>
      </c>
      <c r="G472" s="78">
        <v>51043</v>
      </c>
      <c r="H472" s="78">
        <f>1630*12+440+1720</f>
        <v>21720</v>
      </c>
      <c r="I472" s="78"/>
      <c r="J472" s="329"/>
      <c r="K472" s="78"/>
      <c r="L472" s="78">
        <f>H472+I472+J472+K472</f>
        <v>21720</v>
      </c>
      <c r="M472" s="78">
        <v>22000</v>
      </c>
      <c r="N472" s="78">
        <f>N468*10.5%</f>
        <v>23100</v>
      </c>
      <c r="O472" s="756">
        <f>197400*10.5/100</f>
        <v>20727</v>
      </c>
      <c r="P472" s="755">
        <v>1714</v>
      </c>
    </row>
    <row r="473" spans="1:16" x14ac:dyDescent="0.25">
      <c r="A473" s="18"/>
      <c r="B473" s="22"/>
      <c r="C473" s="29"/>
      <c r="D473" s="29"/>
      <c r="E473" s="30"/>
      <c r="F473" s="90"/>
      <c r="G473" s="90"/>
      <c r="H473" s="120"/>
      <c r="I473" s="120"/>
      <c r="J473" s="368"/>
      <c r="K473" s="120"/>
      <c r="L473" s="90"/>
      <c r="M473" s="90"/>
      <c r="N473" s="90"/>
    </row>
    <row r="474" spans="1:16" x14ac:dyDescent="0.25">
      <c r="A474" s="18"/>
      <c r="B474" s="22"/>
      <c r="C474" s="37" t="s">
        <v>215</v>
      </c>
      <c r="D474" s="37">
        <v>613100</v>
      </c>
      <c r="E474" s="38" t="s">
        <v>93</v>
      </c>
      <c r="F474" s="39">
        <v>520</v>
      </c>
      <c r="G474" s="39">
        <v>1000</v>
      </c>
      <c r="H474" s="39">
        <f>1500-500</f>
        <v>1000</v>
      </c>
      <c r="I474" s="39"/>
      <c r="J474" s="62"/>
      <c r="K474" s="39"/>
      <c r="L474" s="39">
        <f>H474+I474+J474+K474</f>
        <v>1000</v>
      </c>
      <c r="M474" s="39">
        <v>1500</v>
      </c>
      <c r="N474" s="39">
        <v>1500</v>
      </c>
    </row>
    <row r="475" spans="1:16" x14ac:dyDescent="0.25">
      <c r="A475" s="18"/>
      <c r="B475" s="22"/>
      <c r="C475" s="37" t="s">
        <v>215</v>
      </c>
      <c r="D475" s="37">
        <v>613300</v>
      </c>
      <c r="E475" s="38" t="s">
        <v>114</v>
      </c>
      <c r="F475" s="83">
        <f t="shared" ref="F475:G475" si="98">F476</f>
        <v>2121</v>
      </c>
      <c r="G475" s="83">
        <f t="shared" si="98"/>
        <v>2000</v>
      </c>
      <c r="H475" s="125">
        <f>H476</f>
        <v>1800</v>
      </c>
      <c r="I475" s="125">
        <f>I476</f>
        <v>0</v>
      </c>
      <c r="J475" s="299">
        <f>J476</f>
        <v>0</v>
      </c>
      <c r="K475" s="125">
        <f>K476</f>
        <v>0</v>
      </c>
      <c r="L475" s="83">
        <f>L476</f>
        <v>1800</v>
      </c>
      <c r="M475" s="83">
        <f t="shared" ref="M475:N475" si="99">M476</f>
        <v>2600</v>
      </c>
      <c r="N475" s="83">
        <f t="shared" si="99"/>
        <v>2600</v>
      </c>
    </row>
    <row r="476" spans="1:16" x14ac:dyDescent="0.25">
      <c r="A476" s="18"/>
      <c r="B476" s="22"/>
      <c r="C476" s="37" t="s">
        <v>215</v>
      </c>
      <c r="D476" s="52">
        <v>613300</v>
      </c>
      <c r="E476" s="49" t="s">
        <v>125</v>
      </c>
      <c r="F476" s="39">
        <f t="shared" ref="F476:G476" si="100">F477+F478</f>
        <v>2121</v>
      </c>
      <c r="G476" s="39">
        <f t="shared" si="100"/>
        <v>2000</v>
      </c>
      <c r="H476" s="117">
        <f>H477+H478</f>
        <v>1800</v>
      </c>
      <c r="I476" s="61">
        <f>I477+I478</f>
        <v>0</v>
      </c>
      <c r="J476" s="117">
        <f>J477+J478</f>
        <v>0</v>
      </c>
      <c r="K476" s="61">
        <f>K477+K478</f>
        <v>0</v>
      </c>
      <c r="L476" s="39">
        <f>L477+L478</f>
        <v>1800</v>
      </c>
      <c r="M476" s="39">
        <f t="shared" ref="M476:N476" si="101">M477+M478</f>
        <v>2600</v>
      </c>
      <c r="N476" s="39">
        <f t="shared" si="101"/>
        <v>2600</v>
      </c>
    </row>
    <row r="477" spans="1:16" x14ac:dyDescent="0.25">
      <c r="A477" s="18"/>
      <c r="B477" s="22"/>
      <c r="C477" s="37" t="s">
        <v>215</v>
      </c>
      <c r="D477" s="52">
        <v>613311</v>
      </c>
      <c r="E477" s="85" t="s">
        <v>361</v>
      </c>
      <c r="F477" s="39">
        <v>1566</v>
      </c>
      <c r="G477" s="39">
        <v>1400</v>
      </c>
      <c r="H477" s="45">
        <f>2000-800</f>
        <v>1200</v>
      </c>
      <c r="I477" s="45"/>
      <c r="J477" s="47"/>
      <c r="K477" s="45"/>
      <c r="L477" s="39">
        <f t="shared" ref="L477:L483" si="102">H477+I477+J477+K477</f>
        <v>1200</v>
      </c>
      <c r="M477" s="39">
        <f>3100-1100</f>
        <v>2000</v>
      </c>
      <c r="N477" s="39">
        <f>3100-1100</f>
        <v>2000</v>
      </c>
    </row>
    <row r="478" spans="1:16" x14ac:dyDescent="0.25">
      <c r="A478" s="18"/>
      <c r="B478" s="22"/>
      <c r="C478" s="37" t="s">
        <v>215</v>
      </c>
      <c r="D478" s="52">
        <v>613313</v>
      </c>
      <c r="E478" s="85" t="s">
        <v>343</v>
      </c>
      <c r="F478" s="39">
        <v>555</v>
      </c>
      <c r="G478" s="39">
        <v>600</v>
      </c>
      <c r="H478" s="47">
        <f>(50*12)</f>
        <v>600</v>
      </c>
      <c r="I478" s="45"/>
      <c r="J478" s="47"/>
      <c r="K478" s="45"/>
      <c r="L478" s="39">
        <f t="shared" si="102"/>
        <v>600</v>
      </c>
      <c r="M478" s="39">
        <v>600</v>
      </c>
      <c r="N478" s="39">
        <v>600</v>
      </c>
    </row>
    <row r="479" spans="1:16" x14ac:dyDescent="0.25">
      <c r="A479" s="18"/>
      <c r="B479" s="22"/>
      <c r="C479" s="37" t="s">
        <v>215</v>
      </c>
      <c r="D479" s="37">
        <v>613400</v>
      </c>
      <c r="E479" s="81" t="s">
        <v>369</v>
      </c>
      <c r="F479" s="45">
        <v>9095</v>
      </c>
      <c r="G479" s="45">
        <v>4000</v>
      </c>
      <c r="H479" s="45">
        <f>5000-1000</f>
        <v>4000</v>
      </c>
      <c r="I479" s="45"/>
      <c r="J479" s="47"/>
      <c r="K479" s="45"/>
      <c r="L479" s="39">
        <f t="shared" si="102"/>
        <v>4000</v>
      </c>
      <c r="M479" s="45">
        <f>14000-5000</f>
        <v>9000</v>
      </c>
      <c r="N479" s="45">
        <f>14000-5000</f>
        <v>9000</v>
      </c>
    </row>
    <row r="480" spans="1:16" x14ac:dyDescent="0.25">
      <c r="A480" s="18"/>
      <c r="B480" s="22"/>
      <c r="C480" s="37" t="s">
        <v>215</v>
      </c>
      <c r="D480" s="37">
        <v>613900</v>
      </c>
      <c r="E480" s="118" t="s">
        <v>7</v>
      </c>
      <c r="F480" s="125">
        <f t="shared" ref="F480:K480" si="103">F481+F482+F483</f>
        <v>33503</v>
      </c>
      <c r="G480" s="125">
        <f t="shared" si="103"/>
        <v>32000</v>
      </c>
      <c r="H480" s="125">
        <f t="shared" si="103"/>
        <v>52000</v>
      </c>
      <c r="I480" s="125">
        <f t="shared" si="103"/>
        <v>0</v>
      </c>
      <c r="J480" s="125">
        <f t="shared" si="103"/>
        <v>0</v>
      </c>
      <c r="K480" s="125">
        <f t="shared" si="103"/>
        <v>0</v>
      </c>
      <c r="L480" s="301">
        <f t="shared" si="102"/>
        <v>52000</v>
      </c>
      <c r="M480" s="125">
        <f>M482+M483</f>
        <v>50700</v>
      </c>
      <c r="N480" s="125">
        <f>N482+N483</f>
        <v>50700</v>
      </c>
    </row>
    <row r="481" spans="1:16" x14ac:dyDescent="0.25">
      <c r="A481" s="18"/>
      <c r="B481" s="22"/>
      <c r="C481" s="37" t="s">
        <v>215</v>
      </c>
      <c r="D481" s="37">
        <v>613914</v>
      </c>
      <c r="E481" s="444" t="s">
        <v>520</v>
      </c>
      <c r="F481" s="630"/>
      <c r="G481" s="630">
        <v>1000</v>
      </c>
      <c r="H481" s="630">
        <v>1000</v>
      </c>
      <c r="I481" s="624"/>
      <c r="J481" s="625"/>
      <c r="K481" s="625"/>
      <c r="L481" s="39">
        <f t="shared" si="102"/>
        <v>1000</v>
      </c>
      <c r="M481" s="624"/>
      <c r="N481" s="624"/>
    </row>
    <row r="482" spans="1:16" ht="30.75" x14ac:dyDescent="0.25">
      <c r="A482" s="18"/>
      <c r="B482" s="22"/>
      <c r="C482" s="37" t="s">
        <v>215</v>
      </c>
      <c r="D482" s="37">
        <v>613920</v>
      </c>
      <c r="E482" s="86" t="s">
        <v>202</v>
      </c>
      <c r="F482" s="45"/>
      <c r="G482" s="45">
        <v>1000</v>
      </c>
      <c r="H482" s="45">
        <f>500+200+300</f>
        <v>1000</v>
      </c>
      <c r="I482" s="45"/>
      <c r="J482" s="47"/>
      <c r="K482" s="45"/>
      <c r="L482" s="39">
        <f t="shared" si="102"/>
        <v>1000</v>
      </c>
      <c r="M482" s="45">
        <f>1000-500+200</f>
        <v>700</v>
      </c>
      <c r="N482" s="45">
        <f>1000-500+200</f>
        <v>700</v>
      </c>
    </row>
    <row r="483" spans="1:16" x14ac:dyDescent="0.25">
      <c r="A483" s="18"/>
      <c r="B483" s="22"/>
      <c r="C483" s="37" t="s">
        <v>215</v>
      </c>
      <c r="D483" s="37">
        <v>613974</v>
      </c>
      <c r="E483" s="111" t="s">
        <v>708</v>
      </c>
      <c r="F483" s="45">
        <v>33503</v>
      </c>
      <c r="G483" s="45">
        <v>30000</v>
      </c>
      <c r="H483" s="45">
        <f>30000+20000</f>
        <v>50000</v>
      </c>
      <c r="I483" s="45"/>
      <c r="J483" s="47"/>
      <c r="K483" s="45"/>
      <c r="L483" s="39">
        <f t="shared" si="102"/>
        <v>50000</v>
      </c>
      <c r="M483" s="45">
        <f>40000+10000</f>
        <v>50000</v>
      </c>
      <c r="N483" s="878">
        <f>40000+10000</f>
        <v>50000</v>
      </c>
    </row>
    <row r="484" spans="1:16" x14ac:dyDescent="0.25">
      <c r="A484" s="18"/>
      <c r="B484" s="22"/>
      <c r="C484" s="27"/>
      <c r="D484" s="27">
        <v>613000</v>
      </c>
      <c r="E484" s="55" t="s">
        <v>15</v>
      </c>
      <c r="F484" s="56">
        <f t="shared" ref="F484" si="104">F474+F475+F479+F480</f>
        <v>45239</v>
      </c>
      <c r="G484" s="56">
        <f t="shared" ref="G484:K484" si="105">G474+G475+G479+G480</f>
        <v>39000</v>
      </c>
      <c r="H484" s="64">
        <f t="shared" si="105"/>
        <v>58800</v>
      </c>
      <c r="I484" s="64">
        <f t="shared" si="105"/>
        <v>0</v>
      </c>
      <c r="J484" s="482">
        <f t="shared" si="105"/>
        <v>0</v>
      </c>
      <c r="K484" s="482">
        <f t="shared" si="105"/>
        <v>0</v>
      </c>
      <c r="L484" s="56">
        <f>L474+L475+L479+L480</f>
        <v>58800</v>
      </c>
      <c r="M484" s="56">
        <f>M474+M475+M479+M480</f>
        <v>63800</v>
      </c>
      <c r="N484" s="56">
        <f>N474+N475+N479+N480</f>
        <v>63800</v>
      </c>
    </row>
    <row r="485" spans="1:16" ht="5.25" customHeight="1" x14ac:dyDescent="0.25">
      <c r="A485" s="18"/>
      <c r="B485" s="22"/>
      <c r="C485" s="684"/>
      <c r="D485" s="684"/>
      <c r="E485" s="373"/>
      <c r="F485" s="730"/>
      <c r="G485" s="730"/>
      <c r="H485" s="299"/>
      <c r="I485" s="299"/>
      <c r="J485" s="299"/>
      <c r="K485" s="299"/>
      <c r="L485" s="730"/>
      <c r="M485" s="730"/>
      <c r="N485" s="730"/>
    </row>
    <row r="486" spans="1:16" ht="30" customHeight="1" x14ac:dyDescent="0.25">
      <c r="A486" s="18"/>
      <c r="B486" s="22"/>
      <c r="C486" s="37" t="s">
        <v>606</v>
      </c>
      <c r="D486" s="146">
        <v>614311</v>
      </c>
      <c r="E486" s="350" t="s">
        <v>504</v>
      </c>
      <c r="F486" s="62"/>
      <c r="G486" s="62"/>
      <c r="H486" s="62">
        <v>30000</v>
      </c>
      <c r="I486" s="62"/>
      <c r="J486" s="62"/>
      <c r="K486" s="62"/>
      <c r="L486" s="62">
        <f>H486+I486+J486+K486</f>
        <v>30000</v>
      </c>
      <c r="M486" s="62">
        <v>20000</v>
      </c>
      <c r="N486" s="39">
        <v>20000</v>
      </c>
    </row>
    <row r="487" spans="1:16" ht="15.75" customHeight="1" x14ac:dyDescent="0.25">
      <c r="A487" s="18"/>
      <c r="B487" s="22"/>
      <c r="C487" s="43"/>
      <c r="D487" s="619"/>
      <c r="E487" s="350" t="s">
        <v>494</v>
      </c>
      <c r="F487" s="117">
        <v>630</v>
      </c>
      <c r="G487" s="117">
        <v>7500</v>
      </c>
      <c r="H487" s="300"/>
      <c r="I487" s="300"/>
      <c r="J487" s="300"/>
      <c r="K487" s="300"/>
      <c r="L487" s="62">
        <f>H487+I487+J487+K487</f>
        <v>0</v>
      </c>
      <c r="M487" s="117"/>
      <c r="N487" s="61"/>
    </row>
    <row r="488" spans="1:16" ht="27.75" customHeight="1" x14ac:dyDescent="0.25">
      <c r="A488" s="18"/>
      <c r="B488" s="22"/>
      <c r="C488" s="100" t="s">
        <v>215</v>
      </c>
      <c r="D488" s="100">
        <v>614811</v>
      </c>
      <c r="E488" s="245" t="s">
        <v>339</v>
      </c>
      <c r="F488" s="110"/>
      <c r="G488" s="110">
        <v>1000</v>
      </c>
      <c r="H488" s="62">
        <v>1000</v>
      </c>
      <c r="I488" s="62"/>
      <c r="J488" s="62"/>
      <c r="K488" s="62"/>
      <c r="L488" s="62">
        <f>H488+I488+J488+K488</f>
        <v>1000</v>
      </c>
      <c r="M488" s="110">
        <v>1000</v>
      </c>
      <c r="N488" s="110">
        <v>1000</v>
      </c>
    </row>
    <row r="489" spans="1:16" x14ac:dyDescent="0.25">
      <c r="A489" s="18"/>
      <c r="B489" s="22"/>
      <c r="C489" s="27"/>
      <c r="D489" s="27">
        <v>614000</v>
      </c>
      <c r="E489" s="55" t="s">
        <v>90</v>
      </c>
      <c r="F489" s="56">
        <f>F486+F488</f>
        <v>0</v>
      </c>
      <c r="G489" s="56">
        <f>G486+G488</f>
        <v>1000</v>
      </c>
      <c r="H489" s="64">
        <f>H486+H488</f>
        <v>31000</v>
      </c>
      <c r="I489" s="64">
        <f t="shared" ref="I489:N489" si="106">I486+I488</f>
        <v>0</v>
      </c>
      <c r="J489" s="64">
        <f t="shared" si="106"/>
        <v>0</v>
      </c>
      <c r="K489" s="64">
        <f t="shared" si="106"/>
        <v>0</v>
      </c>
      <c r="L489" s="64">
        <f t="shared" si="106"/>
        <v>31000</v>
      </c>
      <c r="M489" s="64">
        <f t="shared" si="106"/>
        <v>21000</v>
      </c>
      <c r="N489" s="64">
        <f t="shared" si="106"/>
        <v>21000</v>
      </c>
    </row>
    <row r="490" spans="1:16" ht="7.5" customHeight="1" x14ac:dyDescent="0.25">
      <c r="A490" s="701"/>
      <c r="B490" s="291"/>
      <c r="C490" s="243"/>
      <c r="D490" s="243"/>
      <c r="E490" s="314"/>
      <c r="F490" s="244"/>
      <c r="G490" s="244"/>
      <c r="H490" s="244"/>
      <c r="I490" s="244"/>
      <c r="J490" s="244"/>
      <c r="K490" s="244"/>
      <c r="L490" s="244"/>
      <c r="M490" s="769"/>
      <c r="N490" s="769"/>
    </row>
    <row r="491" spans="1:16" ht="30" x14ac:dyDescent="0.25">
      <c r="A491" s="701"/>
      <c r="B491" s="291"/>
      <c r="C491" s="109" t="s">
        <v>233</v>
      </c>
      <c r="D491" s="146">
        <v>821220</v>
      </c>
      <c r="E491" s="139" t="s">
        <v>978</v>
      </c>
      <c r="F491" s="39"/>
      <c r="G491" s="39"/>
      <c r="H491" s="39">
        <f>50000+50000</f>
        <v>100000</v>
      </c>
      <c r="I491" s="39"/>
      <c r="J491" s="62"/>
      <c r="K491" s="39"/>
      <c r="L491" s="62">
        <f>H491+I491+J491+K491</f>
        <v>100000</v>
      </c>
      <c r="M491" s="39">
        <v>50000</v>
      </c>
      <c r="N491" s="39">
        <v>50000</v>
      </c>
    </row>
    <row r="492" spans="1:16" x14ac:dyDescent="0.25">
      <c r="A492" s="701"/>
      <c r="B492" s="291"/>
      <c r="C492" s="109" t="s">
        <v>215</v>
      </c>
      <c r="D492" s="645">
        <v>821300</v>
      </c>
      <c r="E492" s="917" t="s">
        <v>613</v>
      </c>
      <c r="F492" s="876"/>
      <c r="G492" s="876"/>
      <c r="H492" s="876">
        <v>3000</v>
      </c>
      <c r="I492" s="876"/>
      <c r="J492" s="885"/>
      <c r="K492" s="876"/>
      <c r="L492" s="885">
        <f>H492+I492+J492+K492</f>
        <v>3000</v>
      </c>
      <c r="M492" s="876"/>
      <c r="N492" s="758"/>
      <c r="P492" s="965"/>
    </row>
    <row r="493" spans="1:16" ht="45" x14ac:dyDescent="0.25">
      <c r="A493" s="701"/>
      <c r="B493" s="291"/>
      <c r="C493" s="335" t="s">
        <v>552</v>
      </c>
      <c r="D493" s="146" t="s">
        <v>481</v>
      </c>
      <c r="E493" s="537" t="s">
        <v>881</v>
      </c>
      <c r="F493" s="39"/>
      <c r="G493" s="39">
        <v>50000</v>
      </c>
      <c r="H493" s="62"/>
      <c r="I493" s="39"/>
      <c r="J493" s="62"/>
      <c r="K493" s="39"/>
      <c r="L493" s="62">
        <f>H493+I493+J493+K493</f>
        <v>0</v>
      </c>
      <c r="M493" s="244"/>
      <c r="N493" s="822"/>
    </row>
    <row r="494" spans="1:16" x14ac:dyDescent="0.25">
      <c r="A494" s="701"/>
      <c r="B494" s="291"/>
      <c r="C494" s="27"/>
      <c r="D494" s="27">
        <v>820000</v>
      </c>
      <c r="E494" s="55" t="s">
        <v>373</v>
      </c>
      <c r="F494" s="64">
        <f>F491+F493</f>
        <v>0</v>
      </c>
      <c r="G494" s="64">
        <f>G491+G493</f>
        <v>50000</v>
      </c>
      <c r="H494" s="64">
        <f>H491+H492+H493</f>
        <v>103000</v>
      </c>
      <c r="I494" s="64">
        <f t="shared" ref="I494:N494" si="107">I491+I493</f>
        <v>0</v>
      </c>
      <c r="J494" s="64">
        <f t="shared" si="107"/>
        <v>0</v>
      </c>
      <c r="K494" s="64">
        <f t="shared" si="107"/>
        <v>0</v>
      </c>
      <c r="L494" s="64">
        <f>L491+L492+L493</f>
        <v>103000</v>
      </c>
      <c r="M494" s="64">
        <f t="shared" si="107"/>
        <v>50000</v>
      </c>
      <c r="N494" s="64">
        <f t="shared" si="107"/>
        <v>50000</v>
      </c>
    </row>
    <row r="496" spans="1:16" x14ac:dyDescent="0.25">
      <c r="A496" s="18"/>
      <c r="B496" s="22"/>
      <c r="C496" s="29"/>
      <c r="D496" s="29"/>
      <c r="E496" s="27" t="s">
        <v>654</v>
      </c>
      <c r="F496" s="56">
        <f>Korisnici!F470+Korisnici!F472+Korisnici!F484+Korisnici!F489+F494</f>
        <v>509273</v>
      </c>
      <c r="G496" s="56">
        <f>Korisnici!G470+Korisnici!G472+Korisnici!G484+Korisnici!G489+G494</f>
        <v>682841</v>
      </c>
      <c r="H496" s="56">
        <f>Korisnici!H470+Korisnici!H472+Korisnici!H484+Korisnici!H489+H494</f>
        <v>435984.2</v>
      </c>
      <c r="I496" s="56">
        <f>Korisnici!I470+Korisnici!I472+Korisnici!I484+Korisnici!I489+I494</f>
        <v>0</v>
      </c>
      <c r="J496" s="56">
        <f>Korisnici!J470+Korisnici!J472+Korisnici!J484+Korisnici!J489+J494</f>
        <v>0</v>
      </c>
      <c r="K496" s="56">
        <f>Korisnici!K470+Korisnici!K472+Korisnici!K484+Korisnici!K489+K494</f>
        <v>0</v>
      </c>
      <c r="L496" s="56">
        <f>Korisnici!L470+Korisnici!L472+Korisnici!L484+Korisnici!L489+L494</f>
        <v>435984.2</v>
      </c>
      <c r="M496" s="56">
        <f>Korisnici!M470+Korisnici!M472+Korisnici!M484+Korisnici!M489+M494</f>
        <v>404800</v>
      </c>
      <c r="N496" s="56">
        <f>Korisnici!N470+Korisnici!N472+Korisnici!N484+Korisnici!N489+N494</f>
        <v>425900</v>
      </c>
    </row>
    <row r="498" spans="1:16" ht="31.5" x14ac:dyDescent="0.25">
      <c r="A498" s="20"/>
      <c r="B498" s="295">
        <v>1108</v>
      </c>
      <c r="C498" s="32"/>
      <c r="D498" s="66"/>
      <c r="E498" s="75" t="s">
        <v>153</v>
      </c>
      <c r="F498" s="33"/>
      <c r="G498" s="33"/>
      <c r="H498" s="120"/>
      <c r="I498" s="120"/>
      <c r="J498" s="368"/>
      <c r="K498" s="120"/>
      <c r="L498" s="33"/>
      <c r="M498" s="33"/>
      <c r="N498" s="33"/>
    </row>
    <row r="499" spans="1:16" x14ac:dyDescent="0.25">
      <c r="A499" s="20"/>
      <c r="B499" s="22"/>
      <c r="C499" s="32"/>
      <c r="D499" s="66"/>
      <c r="E499" s="376"/>
      <c r="F499" s="73"/>
      <c r="G499" s="73"/>
      <c r="H499" s="368"/>
      <c r="I499" s="120"/>
      <c r="J499" s="368"/>
      <c r="K499" s="120"/>
      <c r="L499" s="73"/>
      <c r="M499" s="73"/>
      <c r="N499" s="73"/>
    </row>
    <row r="500" spans="1:16" ht="22.5" customHeight="1" x14ac:dyDescent="0.25">
      <c r="A500" s="20"/>
      <c r="B500" s="22"/>
      <c r="C500" s="37" t="s">
        <v>215</v>
      </c>
      <c r="D500" s="37">
        <v>611100</v>
      </c>
      <c r="E500" s="44" t="s">
        <v>912</v>
      </c>
      <c r="F500" s="39">
        <v>252052</v>
      </c>
      <c r="G500" s="39">
        <v>288275</v>
      </c>
      <c r="H500" s="62">
        <f>24760*12+1880+ (29900)/2</f>
        <v>313950</v>
      </c>
      <c r="I500" s="39"/>
      <c r="J500" s="62"/>
      <c r="K500" s="39"/>
      <c r="L500" s="62">
        <f>H500+I500+J500+K500</f>
        <v>313950</v>
      </c>
      <c r="M500" s="39">
        <f>275000+5000</f>
        <v>280000</v>
      </c>
      <c r="N500" s="39">
        <f>275000+10000</f>
        <v>285000</v>
      </c>
      <c r="O500" s="756" t="s">
        <v>1044</v>
      </c>
      <c r="P500" s="755">
        <f>2479*12</f>
        <v>29748</v>
      </c>
    </row>
    <row r="501" spans="1:16" x14ac:dyDescent="0.25">
      <c r="A501" s="20"/>
      <c r="B501" s="22"/>
      <c r="C501" s="37" t="s">
        <v>215</v>
      </c>
      <c r="D501" s="37">
        <v>611200</v>
      </c>
      <c r="E501" s="38" t="s">
        <v>12</v>
      </c>
      <c r="F501" s="39">
        <v>33230</v>
      </c>
      <c r="G501" s="39">
        <v>41889</v>
      </c>
      <c r="H501" s="48">
        <f>(14*22*9.3)*11+(14*450)+(515*11)+527</f>
        <v>44000.4</v>
      </c>
      <c r="I501" s="45"/>
      <c r="J501" s="47"/>
      <c r="K501" s="45"/>
      <c r="L501" s="62">
        <f>H501+I501+J501+K501</f>
        <v>44000.4</v>
      </c>
      <c r="M501" s="39">
        <v>40600</v>
      </c>
      <c r="N501" s="39">
        <v>40600</v>
      </c>
    </row>
    <row r="502" spans="1:16" x14ac:dyDescent="0.25">
      <c r="A502" s="20"/>
      <c r="B502" s="22"/>
      <c r="C502" s="54" t="s">
        <v>215</v>
      </c>
      <c r="D502" s="27">
        <v>611000</v>
      </c>
      <c r="E502" s="55" t="s">
        <v>13</v>
      </c>
      <c r="F502" s="56">
        <f t="shared" ref="F502:G502" si="108">F500+F501</f>
        <v>285282</v>
      </c>
      <c r="G502" s="56">
        <f t="shared" si="108"/>
        <v>330164</v>
      </c>
      <c r="H502" s="64">
        <f>H500+H501</f>
        <v>357950.4</v>
      </c>
      <c r="I502" s="64">
        <f>I500+I501</f>
        <v>0</v>
      </c>
      <c r="J502" s="482">
        <f>J500+J501</f>
        <v>0</v>
      </c>
      <c r="K502" s="64">
        <f>K500+K501</f>
        <v>0</v>
      </c>
      <c r="L502" s="56">
        <f>L500+L501</f>
        <v>357950.4</v>
      </c>
      <c r="M502" s="56">
        <f t="shared" ref="M502:N502" si="109">M500+M501</f>
        <v>320600</v>
      </c>
      <c r="N502" s="56">
        <f t="shared" si="109"/>
        <v>325600</v>
      </c>
    </row>
    <row r="503" spans="1:16" x14ac:dyDescent="0.25">
      <c r="A503" s="20"/>
      <c r="B503" s="22"/>
      <c r="C503" s="29"/>
      <c r="D503" s="29"/>
      <c r="E503" s="30"/>
      <c r="F503" s="90"/>
      <c r="G503" s="90"/>
      <c r="H503" s="130"/>
      <c r="I503" s="130"/>
      <c r="J503" s="265"/>
      <c r="K503" s="130"/>
      <c r="L503" s="90"/>
      <c r="M503" s="90"/>
      <c r="N503" s="90"/>
    </row>
    <row r="504" spans="1:16" x14ac:dyDescent="0.25">
      <c r="A504" s="20"/>
      <c r="B504" s="22"/>
      <c r="C504" s="54" t="s">
        <v>215</v>
      </c>
      <c r="D504" s="27">
        <v>612111</v>
      </c>
      <c r="E504" s="55" t="s">
        <v>14</v>
      </c>
      <c r="F504" s="78">
        <v>26591</v>
      </c>
      <c r="G504" s="78">
        <v>31645</v>
      </c>
      <c r="H504" s="78">
        <f>2600*12+(3334)/2+133</f>
        <v>33000</v>
      </c>
      <c r="I504" s="78"/>
      <c r="J504" s="329"/>
      <c r="K504" s="78"/>
      <c r="L504" s="78">
        <f>H504+I504+J504+K504</f>
        <v>33000</v>
      </c>
      <c r="M504" s="78">
        <f>M500*10.5%</f>
        <v>29400</v>
      </c>
      <c r="N504" s="78">
        <f>N500*10.5%</f>
        <v>29925</v>
      </c>
      <c r="O504" s="756">
        <f>313950*10.5/100</f>
        <v>32964.75</v>
      </c>
      <c r="P504" s="755">
        <f>260*12</f>
        <v>3120</v>
      </c>
    </row>
    <row r="505" spans="1:16" x14ac:dyDescent="0.25">
      <c r="A505" s="20"/>
      <c r="B505" s="22"/>
      <c r="C505" s="29"/>
      <c r="D505" s="29"/>
      <c r="E505" s="30"/>
      <c r="F505" s="90"/>
      <c r="G505" s="90"/>
      <c r="H505" s="130"/>
      <c r="I505" s="130"/>
      <c r="J505" s="265"/>
      <c r="K505" s="130"/>
      <c r="L505" s="90"/>
      <c r="M505" s="90"/>
      <c r="N505" s="90"/>
    </row>
    <row r="506" spans="1:16" x14ac:dyDescent="0.25">
      <c r="A506" s="20"/>
      <c r="B506" s="22"/>
      <c r="C506" s="37" t="s">
        <v>215</v>
      </c>
      <c r="D506" s="37">
        <v>613100</v>
      </c>
      <c r="E506" s="38" t="s">
        <v>93</v>
      </c>
      <c r="F506" s="39">
        <v>278</v>
      </c>
      <c r="G506" s="39">
        <f>1000+500</f>
        <v>1500</v>
      </c>
      <c r="H506" s="39">
        <f>1500</f>
        <v>1500</v>
      </c>
      <c r="I506" s="39"/>
      <c r="J506" s="62"/>
      <c r="K506" s="39"/>
      <c r="L506" s="39">
        <f>H506+I506+J506+K506</f>
        <v>1500</v>
      </c>
      <c r="M506" s="39">
        <f>1000+500</f>
        <v>1500</v>
      </c>
      <c r="N506" s="39">
        <f>1000+500</f>
        <v>1500</v>
      </c>
    </row>
    <row r="507" spans="1:16" x14ac:dyDescent="0.25">
      <c r="A507" s="20"/>
      <c r="B507" s="22"/>
      <c r="C507" s="37" t="s">
        <v>215</v>
      </c>
      <c r="D507" s="37">
        <v>613300</v>
      </c>
      <c r="E507" s="38" t="s">
        <v>114</v>
      </c>
      <c r="F507" s="125">
        <f t="shared" ref="F507:G507" si="110">F508+F509</f>
        <v>2441</v>
      </c>
      <c r="G507" s="125">
        <f t="shared" si="110"/>
        <v>2780</v>
      </c>
      <c r="H507" s="125">
        <f>H508+H509</f>
        <v>2880</v>
      </c>
      <c r="I507" s="125">
        <f>I508+I509</f>
        <v>0</v>
      </c>
      <c r="J507" s="299">
        <f>J508+J509</f>
        <v>0</v>
      </c>
      <c r="K507" s="125">
        <f>K508+K509</f>
        <v>0</v>
      </c>
      <c r="L507" s="125">
        <f>L508+L509</f>
        <v>2880</v>
      </c>
      <c r="M507" s="125">
        <f t="shared" ref="M507:N507" si="111">M508+M509</f>
        <v>2780</v>
      </c>
      <c r="N507" s="125">
        <f t="shared" si="111"/>
        <v>2780</v>
      </c>
    </row>
    <row r="508" spans="1:16" x14ac:dyDescent="0.25">
      <c r="A508" s="20"/>
      <c r="B508" s="22"/>
      <c r="C508" s="37" t="s">
        <v>215</v>
      </c>
      <c r="D508" s="52">
        <v>613311</v>
      </c>
      <c r="E508" s="444" t="s">
        <v>361</v>
      </c>
      <c r="F508" s="39">
        <v>1638</v>
      </c>
      <c r="G508" s="39">
        <v>1700</v>
      </c>
      <c r="H508" s="45">
        <f>1600+100+100</f>
        <v>1800</v>
      </c>
      <c r="I508" s="45"/>
      <c r="J508" s="47"/>
      <c r="K508" s="45"/>
      <c r="L508" s="39">
        <f>H508+I508+J508+K508</f>
        <v>1800</v>
      </c>
      <c r="M508" s="39">
        <v>1700</v>
      </c>
      <c r="N508" s="39">
        <v>1700</v>
      </c>
    </row>
    <row r="509" spans="1:16" x14ac:dyDescent="0.25">
      <c r="A509" s="20"/>
      <c r="B509" s="22"/>
      <c r="C509" s="37" t="s">
        <v>215</v>
      </c>
      <c r="D509" s="52">
        <v>613313</v>
      </c>
      <c r="E509" s="444" t="s">
        <v>343</v>
      </c>
      <c r="F509" s="45">
        <v>803</v>
      </c>
      <c r="G509" s="45">
        <v>1080</v>
      </c>
      <c r="H509" s="47">
        <f>(50*12)+40*12</f>
        <v>1080</v>
      </c>
      <c r="I509" s="45"/>
      <c r="J509" s="47"/>
      <c r="K509" s="45"/>
      <c r="L509" s="39">
        <f>H509+I509+J509+K509</f>
        <v>1080</v>
      </c>
      <c r="M509" s="45">
        <v>1080</v>
      </c>
      <c r="N509" s="45">
        <v>1080</v>
      </c>
    </row>
    <row r="510" spans="1:16" x14ac:dyDescent="0.25">
      <c r="A510" s="20"/>
      <c r="B510" s="22"/>
      <c r="C510" s="37" t="s">
        <v>215</v>
      </c>
      <c r="D510" s="37">
        <v>613400</v>
      </c>
      <c r="E510" s="81" t="s">
        <v>385</v>
      </c>
      <c r="F510" s="45">
        <v>4877</v>
      </c>
      <c r="G510" s="45">
        <v>3500</v>
      </c>
      <c r="H510" s="45">
        <v>3500</v>
      </c>
      <c r="I510" s="45"/>
      <c r="J510" s="47"/>
      <c r="K510" s="45"/>
      <c r="L510" s="45">
        <f>H510+I510+J510+K510</f>
        <v>3500</v>
      </c>
      <c r="M510" s="45">
        <v>3500</v>
      </c>
      <c r="N510" s="45">
        <v>3500</v>
      </c>
    </row>
    <row r="511" spans="1:16" x14ac:dyDescent="0.25">
      <c r="A511" s="20"/>
      <c r="B511" s="22"/>
      <c r="C511" s="37" t="s">
        <v>215</v>
      </c>
      <c r="D511" s="37">
        <v>613722</v>
      </c>
      <c r="E511" s="245" t="s">
        <v>975</v>
      </c>
      <c r="F511" s="45"/>
      <c r="G511" s="45"/>
      <c r="H511" s="313">
        <v>3000</v>
      </c>
      <c r="I511" s="313"/>
      <c r="J511" s="313"/>
      <c r="K511" s="313"/>
      <c r="L511" s="553">
        <f>H511+I511+J511+K511</f>
        <v>3000</v>
      </c>
      <c r="M511" s="313">
        <v>3000</v>
      </c>
      <c r="N511" s="313">
        <v>3000</v>
      </c>
      <c r="P511" s="857"/>
    </row>
    <row r="512" spans="1:16" x14ac:dyDescent="0.25">
      <c r="A512" s="20"/>
      <c r="B512" s="22"/>
      <c r="C512" s="37" t="s">
        <v>215</v>
      </c>
      <c r="D512" s="37">
        <v>613900</v>
      </c>
      <c r="E512" s="38" t="s">
        <v>7</v>
      </c>
      <c r="F512" s="46">
        <f t="shared" ref="F512:G512" si="112">F513+F514+F515+F516+F517</f>
        <v>2528</v>
      </c>
      <c r="G512" s="46">
        <f t="shared" si="112"/>
        <v>9900</v>
      </c>
      <c r="H512" s="46">
        <f>H513+H514+H515+H516+H517</f>
        <v>9900</v>
      </c>
      <c r="I512" s="46">
        <f>I513+I514+I515+I516+I517</f>
        <v>0</v>
      </c>
      <c r="J512" s="46">
        <f>J513+J514+J515+J516+J517</f>
        <v>0</v>
      </c>
      <c r="K512" s="46">
        <f>K513+K514+K515+K516+K517</f>
        <v>0</v>
      </c>
      <c r="L512" s="46">
        <f>L513+L514+L515+L516+L517</f>
        <v>9900</v>
      </c>
      <c r="M512" s="46">
        <f t="shared" ref="M512:N512" si="113">M513+M514+M515+M516+M517</f>
        <v>9900</v>
      </c>
      <c r="N512" s="46">
        <f t="shared" si="113"/>
        <v>9900</v>
      </c>
    </row>
    <row r="513" spans="1:14" x14ac:dyDescent="0.25">
      <c r="A513" s="20"/>
      <c r="B513" s="22"/>
      <c r="C513" s="37" t="s">
        <v>215</v>
      </c>
      <c r="D513" s="37">
        <v>613914</v>
      </c>
      <c r="E513" s="85" t="s">
        <v>609</v>
      </c>
      <c r="F513" s="48"/>
      <c r="G513" s="48">
        <v>1000</v>
      </c>
      <c r="H513" s="48">
        <v>1000</v>
      </c>
      <c r="I513" s="46"/>
      <c r="J513" s="567"/>
      <c r="K513" s="46"/>
      <c r="L513" s="48">
        <f>H513+I513+J513+K513</f>
        <v>1000</v>
      </c>
      <c r="M513" s="48">
        <v>1000</v>
      </c>
      <c r="N513" s="48">
        <v>1000</v>
      </c>
    </row>
    <row r="514" spans="1:14" x14ac:dyDescent="0.25">
      <c r="A514" s="20"/>
      <c r="B514" s="22"/>
      <c r="C514" s="37" t="s">
        <v>215</v>
      </c>
      <c r="D514" s="100">
        <v>613916</v>
      </c>
      <c r="E514" s="444" t="s">
        <v>610</v>
      </c>
      <c r="F514" s="300"/>
      <c r="G514" s="300">
        <v>1000</v>
      </c>
      <c r="H514" s="300">
        <v>1000</v>
      </c>
      <c r="I514" s="567"/>
      <c r="J514" s="567"/>
      <c r="K514" s="567"/>
      <c r="L514" s="300">
        <f>H514+I514+J514+K514</f>
        <v>1000</v>
      </c>
      <c r="M514" s="300">
        <v>1000</v>
      </c>
      <c r="N514" s="300">
        <v>1000</v>
      </c>
    </row>
    <row r="515" spans="1:14" ht="30.75" x14ac:dyDescent="0.25">
      <c r="A515" s="20"/>
      <c r="B515" s="22"/>
      <c r="C515" s="37" t="s">
        <v>215</v>
      </c>
      <c r="D515" s="37">
        <v>613920</v>
      </c>
      <c r="E515" s="86" t="s">
        <v>525</v>
      </c>
      <c r="F515" s="45"/>
      <c r="G515" s="45">
        <v>1000</v>
      </c>
      <c r="H515" s="45">
        <f>1500-500</f>
        <v>1000</v>
      </c>
      <c r="I515" s="45"/>
      <c r="J515" s="47"/>
      <c r="K515" s="45"/>
      <c r="L515" s="45">
        <f>H515+I515+J515+K515</f>
        <v>1000</v>
      </c>
      <c r="M515" s="45">
        <v>1000</v>
      </c>
      <c r="N515" s="45">
        <v>1000</v>
      </c>
    </row>
    <row r="516" spans="1:14" x14ac:dyDescent="0.25">
      <c r="A516" s="20"/>
      <c r="B516" s="22"/>
      <c r="C516" s="37" t="s">
        <v>215</v>
      </c>
      <c r="D516" s="37">
        <v>613937</v>
      </c>
      <c r="E516" s="86" t="s">
        <v>611</v>
      </c>
      <c r="F516" s="47">
        <v>1528</v>
      </c>
      <c r="G516" s="47">
        <f>3000+2000</f>
        <v>5000</v>
      </c>
      <c r="H516" s="47">
        <f>3000+2000</f>
        <v>5000</v>
      </c>
      <c r="I516" s="45"/>
      <c r="J516" s="47"/>
      <c r="K516" s="45"/>
      <c r="L516" s="47">
        <f>H516+I516+J516+K516</f>
        <v>5000</v>
      </c>
      <c r="M516" s="47">
        <f>3000+2000</f>
        <v>5000</v>
      </c>
      <c r="N516" s="47">
        <f>3000+2000</f>
        <v>5000</v>
      </c>
    </row>
    <row r="517" spans="1:14" ht="30" x14ac:dyDescent="0.25">
      <c r="A517" s="20"/>
      <c r="B517" s="22"/>
      <c r="C517" s="109"/>
      <c r="D517" s="128">
        <v>613991</v>
      </c>
      <c r="E517" s="139" t="s">
        <v>612</v>
      </c>
      <c r="F517" s="61">
        <v>1000</v>
      </c>
      <c r="G517" s="61">
        <v>1900</v>
      </c>
      <c r="H517" s="48">
        <f>1000+900</f>
        <v>1900</v>
      </c>
      <c r="I517" s="48"/>
      <c r="J517" s="300"/>
      <c r="K517" s="48"/>
      <c r="L517" s="48">
        <f>H517+I517+J517+K517</f>
        <v>1900</v>
      </c>
      <c r="M517" s="61">
        <v>1900</v>
      </c>
      <c r="N517" s="61">
        <v>1900</v>
      </c>
    </row>
    <row r="518" spans="1:14" x14ac:dyDescent="0.25">
      <c r="A518" s="20"/>
      <c r="B518" s="22"/>
      <c r="C518" s="27" t="s">
        <v>219</v>
      </c>
      <c r="D518" s="27">
        <v>613000</v>
      </c>
      <c r="E518" s="55" t="s">
        <v>15</v>
      </c>
      <c r="F518" s="64">
        <f t="shared" ref="F518:G518" si="114">F506+F507+F510+F512</f>
        <v>10124</v>
      </c>
      <c r="G518" s="64">
        <f t="shared" si="114"/>
        <v>17680</v>
      </c>
      <c r="H518" s="64">
        <f>H506+H507+H510+H511+H512</f>
        <v>20780</v>
      </c>
      <c r="I518" s="64">
        <f t="shared" ref="I518:N518" si="115">I506+I507+I510+I511+I512</f>
        <v>0</v>
      </c>
      <c r="J518" s="64">
        <f t="shared" si="115"/>
        <v>0</v>
      </c>
      <c r="K518" s="64">
        <f t="shared" si="115"/>
        <v>0</v>
      </c>
      <c r="L518" s="64">
        <f t="shared" si="115"/>
        <v>20780</v>
      </c>
      <c r="M518" s="64">
        <f t="shared" si="115"/>
        <v>20680</v>
      </c>
      <c r="N518" s="64">
        <f t="shared" si="115"/>
        <v>20680</v>
      </c>
    </row>
    <row r="519" spans="1:14" x14ac:dyDescent="0.25">
      <c r="A519" s="20"/>
      <c r="B519" s="22"/>
      <c r="C519" s="658"/>
      <c r="D519" s="658"/>
      <c r="E519" s="657"/>
      <c r="F519" s="657"/>
      <c r="G519" s="657"/>
      <c r="H519" s="659"/>
      <c r="I519" s="657"/>
      <c r="J519" s="657"/>
      <c r="K519" s="657"/>
      <c r="L519" s="657"/>
      <c r="M519" s="657"/>
      <c r="N519" s="657"/>
    </row>
    <row r="520" spans="1:14" ht="31.5" x14ac:dyDescent="0.25">
      <c r="A520" s="20"/>
      <c r="B520" s="22"/>
      <c r="C520" s="286" t="s">
        <v>215</v>
      </c>
      <c r="D520" s="286">
        <v>614811</v>
      </c>
      <c r="E520" s="448" t="s">
        <v>339</v>
      </c>
      <c r="F520" s="485"/>
      <c r="G520" s="485">
        <v>1000</v>
      </c>
      <c r="H520" s="329">
        <v>1000</v>
      </c>
      <c r="I520" s="329"/>
      <c r="J520" s="329"/>
      <c r="K520" s="329"/>
      <c r="L520" s="329">
        <f>H520+I520+J520+K520</f>
        <v>1000</v>
      </c>
      <c r="M520" s="485">
        <v>1000</v>
      </c>
      <c r="N520" s="485">
        <v>1000</v>
      </c>
    </row>
    <row r="521" spans="1:14" x14ac:dyDescent="0.25">
      <c r="A521" s="20"/>
      <c r="B521" s="22"/>
      <c r="C521" s="100"/>
      <c r="D521" s="100"/>
      <c r="E521" s="245"/>
      <c r="F521" s="110"/>
      <c r="G521" s="110"/>
      <c r="H521" s="62"/>
      <c r="I521" s="62"/>
      <c r="J521" s="62"/>
      <c r="K521" s="62"/>
      <c r="L521" s="62"/>
      <c r="M521" s="110"/>
      <c r="N521" s="110"/>
    </row>
    <row r="522" spans="1:14" ht="60" x14ac:dyDescent="0.25">
      <c r="A522" s="20"/>
      <c r="B522" s="22"/>
      <c r="C522" s="109" t="s">
        <v>215</v>
      </c>
      <c r="D522" s="146">
        <v>821111</v>
      </c>
      <c r="E522" s="156" t="s">
        <v>171</v>
      </c>
      <c r="F522" s="449">
        <f>F523+F524+F525+F526+F527</f>
        <v>879269</v>
      </c>
      <c r="G522" s="449">
        <f>100000+200000</f>
        <v>300000</v>
      </c>
      <c r="H522" s="39"/>
      <c r="I522" s="39">
        <f>I523+I524+I525+I526+I527</f>
        <v>0</v>
      </c>
      <c r="J522" s="62">
        <f>J523+J524+J525+J526+J527</f>
        <v>300000</v>
      </c>
      <c r="K522" s="885">
        <f>K523+K524+K525+K526+K527</f>
        <v>300000</v>
      </c>
      <c r="L522" s="62">
        <f t="shared" ref="L522:L531" si="116">H522+I522+J522+K522</f>
        <v>600000</v>
      </c>
      <c r="M522" s="62">
        <f>100000+200000</f>
        <v>300000</v>
      </c>
      <c r="N522" s="62">
        <f>100000+200000</f>
        <v>300000</v>
      </c>
    </row>
    <row r="523" spans="1:14" x14ac:dyDescent="0.25">
      <c r="A523" s="20"/>
      <c r="B523" s="22"/>
      <c r="C523" s="109"/>
      <c r="D523" s="146"/>
      <c r="E523" s="156" t="s">
        <v>290</v>
      </c>
      <c r="F523" s="117">
        <v>428934</v>
      </c>
      <c r="G523" s="117"/>
      <c r="H523" s="61"/>
      <c r="I523" s="61"/>
      <c r="J523" s="117"/>
      <c r="K523" s="61"/>
      <c r="L523" s="62">
        <f t="shared" si="116"/>
        <v>0</v>
      </c>
      <c r="M523" s="117"/>
      <c r="N523" s="117"/>
    </row>
    <row r="524" spans="1:14" x14ac:dyDescent="0.25">
      <c r="A524" s="20"/>
      <c r="B524" s="22"/>
      <c r="C524" s="109"/>
      <c r="D524" s="146"/>
      <c r="E524" s="156" t="s">
        <v>291</v>
      </c>
      <c r="F524" s="117">
        <v>314865</v>
      </c>
      <c r="G524" s="117"/>
      <c r="H524" s="61"/>
      <c r="I524" s="61"/>
      <c r="J524" s="117"/>
      <c r="K524" s="61"/>
      <c r="L524" s="62">
        <f t="shared" si="116"/>
        <v>0</v>
      </c>
      <c r="M524" s="117"/>
      <c r="N524" s="117"/>
    </row>
    <row r="525" spans="1:14" x14ac:dyDescent="0.25">
      <c r="A525" s="20"/>
      <c r="B525" s="22"/>
      <c r="C525" s="109"/>
      <c r="D525" s="146"/>
      <c r="E525" s="156" t="s">
        <v>292</v>
      </c>
      <c r="F525" s="117">
        <v>135470</v>
      </c>
      <c r="G525" s="117"/>
      <c r="H525" s="61"/>
      <c r="I525" s="61"/>
      <c r="J525" s="117"/>
      <c r="K525" s="61"/>
      <c r="L525" s="62">
        <f t="shared" si="116"/>
        <v>0</v>
      </c>
      <c r="M525" s="117"/>
      <c r="N525" s="117"/>
    </row>
    <row r="526" spans="1:14" ht="30" x14ac:dyDescent="0.25">
      <c r="A526" s="20"/>
      <c r="B526" s="22"/>
      <c r="C526" s="109"/>
      <c r="D526" s="146"/>
      <c r="E526" s="1012" t="s">
        <v>1205</v>
      </c>
      <c r="F526" s="117"/>
      <c r="G526" s="117"/>
      <c r="H526" s="61"/>
      <c r="I526" s="61"/>
      <c r="J526" s="117"/>
      <c r="K526" s="61">
        <v>300000</v>
      </c>
      <c r="L526" s="62">
        <f t="shared" si="116"/>
        <v>300000</v>
      </c>
      <c r="M526" s="117"/>
      <c r="N526" s="117"/>
    </row>
    <row r="527" spans="1:14" ht="45" x14ac:dyDescent="0.25">
      <c r="A527" s="20"/>
      <c r="B527" s="22"/>
      <c r="C527" s="109"/>
      <c r="D527" s="146"/>
      <c r="E527" s="156" t="s">
        <v>447</v>
      </c>
      <c r="F527" s="117"/>
      <c r="G527" s="117">
        <v>300000</v>
      </c>
      <c r="H527" s="61"/>
      <c r="I527" s="61"/>
      <c r="J527" s="117">
        <v>300000</v>
      </c>
      <c r="K527" s="61"/>
      <c r="L527" s="62">
        <f t="shared" si="116"/>
        <v>300000</v>
      </c>
      <c r="M527" s="117">
        <v>300000</v>
      </c>
      <c r="N527" s="117">
        <v>300000</v>
      </c>
    </row>
    <row r="528" spans="1:14" x14ac:dyDescent="0.25">
      <c r="A528" s="20"/>
      <c r="B528" s="22"/>
      <c r="C528" s="109" t="s">
        <v>215</v>
      </c>
      <c r="D528" s="645">
        <v>821300</v>
      </c>
      <c r="E528" s="537" t="s">
        <v>976</v>
      </c>
      <c r="F528" s="117"/>
      <c r="G528" s="117">
        <v>2000</v>
      </c>
      <c r="H528" s="62">
        <f>2000+26000</f>
        <v>28000</v>
      </c>
      <c r="I528" s="300"/>
      <c r="J528" s="300"/>
      <c r="K528" s="300"/>
      <c r="L528" s="62">
        <f t="shared" si="116"/>
        <v>28000</v>
      </c>
      <c r="M528" s="117">
        <v>10000</v>
      </c>
      <c r="N528" s="117"/>
    </row>
    <row r="529" spans="1:17" ht="60" x14ac:dyDescent="0.25">
      <c r="A529" s="20"/>
      <c r="B529" s="22"/>
      <c r="C529" s="109" t="s">
        <v>215</v>
      </c>
      <c r="D529" s="128">
        <v>821341</v>
      </c>
      <c r="E529" s="350" t="s">
        <v>977</v>
      </c>
      <c r="F529" s="39"/>
      <c r="G529" s="39">
        <v>26000</v>
      </c>
      <c r="H529" s="47">
        <f>26000-26000</f>
        <v>0</v>
      </c>
      <c r="I529" s="45"/>
      <c r="J529" s="47"/>
      <c r="K529" s="45"/>
      <c r="L529" s="45">
        <f t="shared" si="116"/>
        <v>0</v>
      </c>
      <c r="M529" s="39">
        <f>10000-10000</f>
        <v>0</v>
      </c>
      <c r="N529" s="39">
        <f>20000-20000</f>
        <v>0</v>
      </c>
    </row>
    <row r="530" spans="1:17" ht="36.75" customHeight="1" x14ac:dyDescent="0.25">
      <c r="A530" s="20"/>
      <c r="B530" s="22"/>
      <c r="C530" s="109"/>
      <c r="D530" s="128">
        <v>821590</v>
      </c>
      <c r="E530" s="350" t="s">
        <v>1246</v>
      </c>
      <c r="F530" s="61">
        <v>20000</v>
      </c>
      <c r="G530" s="61">
        <v>20000</v>
      </c>
      <c r="H530" s="48">
        <v>20000</v>
      </c>
      <c r="I530" s="48"/>
      <c r="J530" s="300"/>
      <c r="K530" s="48"/>
      <c r="L530" s="45">
        <f t="shared" si="116"/>
        <v>20000</v>
      </c>
      <c r="M530" s="61">
        <v>20000</v>
      </c>
      <c r="N530" s="61">
        <v>20000</v>
      </c>
    </row>
    <row r="531" spans="1:17" x14ac:dyDescent="0.25">
      <c r="A531" s="20"/>
      <c r="B531" s="22"/>
      <c r="C531" s="27"/>
      <c r="D531" s="27">
        <v>820000</v>
      </c>
      <c r="E531" s="55" t="s">
        <v>373</v>
      </c>
      <c r="F531" s="64">
        <f>F522+F528+F529+F530</f>
        <v>899269</v>
      </c>
      <c r="G531" s="64">
        <f>G522+G528+G529+G530</f>
        <v>348000</v>
      </c>
      <c r="H531" s="64">
        <f>H522+H528+H529+H530</f>
        <v>48000</v>
      </c>
      <c r="I531" s="64">
        <f t="shared" ref="I531:K531" si="117">I522+I528+I529+I530</f>
        <v>0</v>
      </c>
      <c r="J531" s="64">
        <f t="shared" si="117"/>
        <v>300000</v>
      </c>
      <c r="K531" s="64">
        <f t="shared" si="117"/>
        <v>300000</v>
      </c>
      <c r="L531" s="64">
        <f t="shared" si="116"/>
        <v>648000</v>
      </c>
      <c r="M531" s="64">
        <f>M522+M528+M529+M530</f>
        <v>330000</v>
      </c>
      <c r="N531" s="64">
        <f>N522+N528+N529+N530</f>
        <v>320000</v>
      </c>
    </row>
    <row r="532" spans="1:17" ht="12" customHeight="1" x14ac:dyDescent="0.25">
      <c r="A532" s="20"/>
      <c r="B532" s="22"/>
      <c r="C532" s="29"/>
      <c r="D532" s="29"/>
      <c r="E532" s="30"/>
      <c r="F532" s="90"/>
      <c r="G532" s="90"/>
      <c r="H532" s="130"/>
      <c r="I532" s="130"/>
      <c r="J532" s="265"/>
      <c r="K532" s="130"/>
      <c r="L532" s="90"/>
      <c r="M532" s="90"/>
      <c r="N532" s="90"/>
    </row>
    <row r="533" spans="1:17" x14ac:dyDescent="0.25">
      <c r="A533" s="20"/>
      <c r="B533" s="22"/>
      <c r="C533" s="66"/>
      <c r="D533" s="66"/>
      <c r="E533" s="27" t="s">
        <v>655</v>
      </c>
      <c r="F533" s="64">
        <f t="shared" ref="F533:G533" si="118">F502+F504+F520+F518+F531</f>
        <v>1221266</v>
      </c>
      <c r="G533" s="64">
        <f t="shared" si="118"/>
        <v>728489</v>
      </c>
      <c r="H533" s="64">
        <f>H502+H504+H520+H518+H531</f>
        <v>460730.4</v>
      </c>
      <c r="I533" s="64">
        <f>I502+I504+I520+I518+I531</f>
        <v>0</v>
      </c>
      <c r="J533" s="64">
        <f>J502+J504+J520+J518+J531</f>
        <v>300000</v>
      </c>
      <c r="K533" s="64">
        <f>K502+K504+K520+K518+K531</f>
        <v>300000</v>
      </c>
      <c r="L533" s="64">
        <f>L502+L504+L520+L518+L531</f>
        <v>1060730.3999999999</v>
      </c>
      <c r="M533" s="64">
        <f t="shared" ref="M533" si="119">M502+M504+M520+M518+M531</f>
        <v>701680</v>
      </c>
      <c r="N533" s="64">
        <f>N502+N504+N518+N520+N531</f>
        <v>697205</v>
      </c>
    </row>
    <row r="535" spans="1:17" x14ac:dyDescent="0.25">
      <c r="A535" s="19"/>
      <c r="B535" s="293">
        <v>1109</v>
      </c>
      <c r="C535" s="66"/>
      <c r="D535" s="66"/>
      <c r="E535" s="157" t="s">
        <v>132</v>
      </c>
      <c r="F535" s="15"/>
      <c r="G535" s="15"/>
      <c r="H535" s="262"/>
      <c r="I535" s="120"/>
      <c r="J535" s="368"/>
      <c r="K535" s="120"/>
      <c r="L535" s="33"/>
      <c r="M535" s="15"/>
      <c r="N535" s="33"/>
      <c r="O535" s="1014">
        <f>+(1865*2)*12</f>
        <v>44760</v>
      </c>
    </row>
    <row r="536" spans="1:17" ht="12" customHeight="1" x14ac:dyDescent="0.25">
      <c r="A536" s="20"/>
      <c r="B536" s="22"/>
      <c r="C536" s="32"/>
      <c r="D536" s="66"/>
      <c r="E536" s="32"/>
      <c r="F536" s="73"/>
      <c r="G536" s="73"/>
      <c r="H536" s="120"/>
      <c r="I536" s="120"/>
      <c r="J536" s="368"/>
      <c r="K536" s="120"/>
      <c r="L536" s="73"/>
      <c r="M536" s="73"/>
      <c r="N536" s="73"/>
      <c r="O536" s="70"/>
    </row>
    <row r="537" spans="1:17" ht="31.5" customHeight="1" x14ac:dyDescent="0.25">
      <c r="A537" s="20"/>
      <c r="B537" s="22"/>
      <c r="C537" s="37" t="s">
        <v>234</v>
      </c>
      <c r="D537" s="37">
        <v>611100</v>
      </c>
      <c r="E537" s="904" t="s">
        <v>1226</v>
      </c>
      <c r="F537" s="39">
        <v>513529</v>
      </c>
      <c r="G537" s="39">
        <v>591067</v>
      </c>
      <c r="H537" s="918">
        <f>42500*12+15000+(59212)/2</f>
        <v>554606</v>
      </c>
      <c r="I537" s="39"/>
      <c r="J537" s="62"/>
      <c r="K537" s="39"/>
      <c r="L537" s="62">
        <f>H537+I537+J537+K537</f>
        <v>554606</v>
      </c>
      <c r="M537" s="39">
        <f>580000+20000</f>
        <v>600000</v>
      </c>
      <c r="N537" s="39">
        <f>585000+20000</f>
        <v>605000</v>
      </c>
      <c r="O537" s="756" t="s">
        <v>1218</v>
      </c>
      <c r="P537" s="755">
        <v>59212</v>
      </c>
      <c r="Q537" s="731">
        <f>(42876*12)+(1675*3)*12</f>
        <v>574812</v>
      </c>
    </row>
    <row r="538" spans="1:17" x14ac:dyDescent="0.25">
      <c r="A538" s="20"/>
      <c r="B538" s="22"/>
      <c r="C538" s="37" t="s">
        <v>234</v>
      </c>
      <c r="D538" s="37">
        <v>611200</v>
      </c>
      <c r="E538" s="38" t="s">
        <v>12</v>
      </c>
      <c r="F538" s="61">
        <v>71844</v>
      </c>
      <c r="G538" s="61">
        <v>72120</v>
      </c>
      <c r="H538" s="48">
        <f>(24*22*9.3)*11+(24*450)+(840*11)+45+8000</f>
        <v>82099.400000000009</v>
      </c>
      <c r="I538" s="48"/>
      <c r="J538" s="300"/>
      <c r="K538" s="48"/>
      <c r="L538" s="62">
        <f>H538+I538+J538+K538</f>
        <v>82099.400000000009</v>
      </c>
      <c r="M538" s="61">
        <f>58000+28000</f>
        <v>86000</v>
      </c>
      <c r="N538" s="61">
        <f>58000+28000</f>
        <v>86000</v>
      </c>
      <c r="O538" s="99"/>
    </row>
    <row r="539" spans="1:17" x14ac:dyDescent="0.25">
      <c r="A539" s="20"/>
      <c r="B539" s="22"/>
      <c r="C539" s="37"/>
      <c r="D539" s="37"/>
      <c r="E539" s="49" t="s">
        <v>47</v>
      </c>
      <c r="F539" s="45">
        <v>14478</v>
      </c>
      <c r="G539" s="45"/>
      <c r="H539" s="45">
        <f>10000+5000-7000</f>
        <v>8000</v>
      </c>
      <c r="I539" s="45"/>
      <c r="J539" s="47"/>
      <c r="K539" s="45"/>
      <c r="L539" s="62">
        <f>H539+I539+J539+K539</f>
        <v>8000</v>
      </c>
      <c r="M539" s="45">
        <f>7200+2800</f>
        <v>10000</v>
      </c>
      <c r="N539" s="45">
        <v>10000</v>
      </c>
      <c r="O539" s="84">
        <f>1350*5</f>
        <v>6750</v>
      </c>
    </row>
    <row r="540" spans="1:17" x14ac:dyDescent="0.25">
      <c r="A540" s="20"/>
      <c r="B540" s="22"/>
      <c r="C540" s="27" t="s">
        <v>234</v>
      </c>
      <c r="D540" s="27">
        <v>611000</v>
      </c>
      <c r="E540" s="55" t="s">
        <v>13</v>
      </c>
      <c r="F540" s="56">
        <f t="shared" ref="F540:G540" si="120">SUM(F537:F538)</f>
        <v>585373</v>
      </c>
      <c r="G540" s="56">
        <f t="shared" si="120"/>
        <v>663187</v>
      </c>
      <c r="H540" s="64">
        <f>SUM(H537:H538)</f>
        <v>636705.4</v>
      </c>
      <c r="I540" s="64">
        <f>SUM(I537:I538)</f>
        <v>0</v>
      </c>
      <c r="J540" s="482">
        <f>SUM(J537:J538)</f>
        <v>0</v>
      </c>
      <c r="K540" s="64">
        <f>SUM(K537:K538)</f>
        <v>0</v>
      </c>
      <c r="L540" s="56">
        <f>SUM(L537:L538)</f>
        <v>636705.4</v>
      </c>
      <c r="M540" s="56">
        <f t="shared" ref="M540:N540" si="121">SUM(M537:M538)</f>
        <v>686000</v>
      </c>
      <c r="N540" s="56">
        <f t="shared" si="121"/>
        <v>691000</v>
      </c>
      <c r="O540" s="56"/>
    </row>
    <row r="541" spans="1:17" x14ac:dyDescent="0.25">
      <c r="A541" s="20"/>
      <c r="B541" s="22"/>
      <c r="C541" s="66"/>
      <c r="D541" s="66"/>
      <c r="E541" s="32"/>
      <c r="F541" s="158"/>
      <c r="G541" s="158"/>
      <c r="H541" s="158"/>
      <c r="I541" s="158"/>
      <c r="J541" s="579"/>
      <c r="K541" s="158"/>
      <c r="L541" s="158"/>
      <c r="M541" s="158"/>
      <c r="N541" s="158"/>
      <c r="O541" s="771"/>
    </row>
    <row r="542" spans="1:17" x14ac:dyDescent="0.25">
      <c r="A542" s="20"/>
      <c r="B542" s="22"/>
      <c r="C542" s="27" t="s">
        <v>234</v>
      </c>
      <c r="D542" s="27">
        <v>612111</v>
      </c>
      <c r="E542" s="55" t="s">
        <v>14</v>
      </c>
      <c r="F542" s="78">
        <v>65594</v>
      </c>
      <c r="G542" s="78">
        <v>73133</v>
      </c>
      <c r="H542" s="254">
        <f>5200*12+2600+(3600)/2-56</f>
        <v>66744</v>
      </c>
      <c r="I542" s="254"/>
      <c r="J542" s="496"/>
      <c r="K542" s="254"/>
      <c r="L542" s="78">
        <f>H542+I542+J542+K542</f>
        <v>66744</v>
      </c>
      <c r="M542" s="78">
        <v>73000</v>
      </c>
      <c r="N542" s="78">
        <v>74000</v>
      </c>
      <c r="O542" s="756">
        <f>554600*10.5/100</f>
        <v>58233</v>
      </c>
      <c r="P542" s="1011">
        <f>(196*3)*12</f>
        <v>7056</v>
      </c>
    </row>
    <row r="543" spans="1:17" x14ac:dyDescent="0.25">
      <c r="A543" s="20"/>
      <c r="B543" s="22"/>
      <c r="C543" s="32"/>
      <c r="D543" s="66"/>
      <c r="E543" s="82"/>
      <c r="F543" s="346"/>
      <c r="G543" s="346"/>
      <c r="H543" s="255"/>
      <c r="I543" s="255"/>
      <c r="J543" s="259"/>
      <c r="K543" s="255"/>
      <c r="L543" s="36"/>
      <c r="M543" s="346"/>
      <c r="N543" s="346"/>
      <c r="O543" s="35"/>
    </row>
    <row r="544" spans="1:17" x14ac:dyDescent="0.25">
      <c r="A544" s="20"/>
      <c r="B544" s="22"/>
      <c r="C544" s="37" t="s">
        <v>234</v>
      </c>
      <c r="D544" s="37">
        <v>613100</v>
      </c>
      <c r="E544" s="122" t="s">
        <v>93</v>
      </c>
      <c r="F544" s="62">
        <v>1198</v>
      </c>
      <c r="G544" s="62">
        <v>2000</v>
      </c>
      <c r="H544" s="47">
        <v>2000</v>
      </c>
      <c r="I544" s="45"/>
      <c r="J544" s="47"/>
      <c r="K544" s="45"/>
      <c r="L544" s="39">
        <f>H544+I544+J544+K544</f>
        <v>2000</v>
      </c>
      <c r="M544" s="62">
        <v>2000</v>
      </c>
      <c r="N544" s="62">
        <v>2000</v>
      </c>
      <c r="O544" s="40"/>
    </row>
    <row r="545" spans="1:15" x14ac:dyDescent="0.25">
      <c r="A545" s="20"/>
      <c r="B545" s="22"/>
      <c r="C545" s="37" t="s">
        <v>234</v>
      </c>
      <c r="D545" s="37">
        <v>613200</v>
      </c>
      <c r="E545" s="38" t="s">
        <v>118</v>
      </c>
      <c r="F545" s="62">
        <v>9629</v>
      </c>
      <c r="G545" s="62">
        <v>10000</v>
      </c>
      <c r="H545" s="47">
        <v>10000</v>
      </c>
      <c r="I545" s="47"/>
      <c r="J545" s="47"/>
      <c r="K545" s="47"/>
      <c r="L545" s="62">
        <f>H545+I545+J545+K545</f>
        <v>10000</v>
      </c>
      <c r="M545" s="62">
        <v>10000</v>
      </c>
      <c r="N545" s="62">
        <v>10000</v>
      </c>
      <c r="O545" s="40"/>
    </row>
    <row r="546" spans="1:15" x14ac:dyDescent="0.25">
      <c r="A546" s="20"/>
      <c r="B546" s="22"/>
      <c r="C546" s="37" t="s">
        <v>234</v>
      </c>
      <c r="D546" s="37">
        <v>613300</v>
      </c>
      <c r="E546" s="38" t="s">
        <v>119</v>
      </c>
      <c r="F546" s="108">
        <f>F550+F547+F551+F548+F549</f>
        <v>6491</v>
      </c>
      <c r="G546" s="108">
        <f>G550+G547+G551+G548+G549</f>
        <v>8300</v>
      </c>
      <c r="H546" s="108">
        <f>H550+H547+H551+H548+H549</f>
        <v>6700</v>
      </c>
      <c r="I546" s="108">
        <f>I547+I548+I549+I550+I551</f>
        <v>0</v>
      </c>
      <c r="J546" s="589">
        <f>J547+J548+J549+J550+J551</f>
        <v>0</v>
      </c>
      <c r="K546" s="108">
        <f>K547+K548+K549+K550+K551</f>
        <v>0</v>
      </c>
      <c r="L546" s="108">
        <f>L550+L547+L551+L548+L549</f>
        <v>6700</v>
      </c>
      <c r="M546" s="108">
        <f>M550+M547+M551+M548+M549</f>
        <v>7100</v>
      </c>
      <c r="N546" s="108">
        <f>N550+N547+N551+N548+N549</f>
        <v>7100</v>
      </c>
      <c r="O546" s="125"/>
    </row>
    <row r="547" spans="1:15" x14ac:dyDescent="0.25">
      <c r="A547" s="20"/>
      <c r="B547" s="22"/>
      <c r="C547" s="37" t="s">
        <v>234</v>
      </c>
      <c r="D547" s="52">
        <v>613311</v>
      </c>
      <c r="E547" s="444" t="s">
        <v>536</v>
      </c>
      <c r="F547" s="96">
        <v>1608</v>
      </c>
      <c r="G547" s="96">
        <v>2500</v>
      </c>
      <c r="H547" s="911">
        <f>2500-1000</f>
        <v>1500</v>
      </c>
      <c r="I547" s="45"/>
      <c r="J547" s="47"/>
      <c r="K547" s="45"/>
      <c r="L547" s="96">
        <f>H547+I547+J547+K547</f>
        <v>1500</v>
      </c>
      <c r="M547" s="96">
        <v>2500</v>
      </c>
      <c r="N547" s="96">
        <v>2500</v>
      </c>
      <c r="O547" s="261"/>
    </row>
    <row r="548" spans="1:15" ht="30.75" x14ac:dyDescent="0.25">
      <c r="A548" s="20"/>
      <c r="B548" s="22"/>
      <c r="C548" s="37" t="s">
        <v>234</v>
      </c>
      <c r="D548" s="52">
        <v>613312</v>
      </c>
      <c r="E548" s="86" t="s">
        <v>537</v>
      </c>
      <c r="F548" s="96"/>
      <c r="G548" s="96"/>
      <c r="H548" s="45"/>
      <c r="I548" s="45"/>
      <c r="J548" s="47"/>
      <c r="K548" s="45"/>
      <c r="L548" s="96">
        <f>H548+I548+J548+K548</f>
        <v>0</v>
      </c>
      <c r="M548" s="96"/>
      <c r="N548" s="96"/>
      <c r="O548" s="261"/>
    </row>
    <row r="549" spans="1:15" ht="17.25" customHeight="1" x14ac:dyDescent="0.25">
      <c r="A549" s="20"/>
      <c r="B549" s="22"/>
      <c r="C549" s="37" t="s">
        <v>234</v>
      </c>
      <c r="D549" s="52">
        <v>613313</v>
      </c>
      <c r="E549" s="116" t="s">
        <v>538</v>
      </c>
      <c r="F549" s="96">
        <v>1165</v>
      </c>
      <c r="G549" s="96">
        <v>1200</v>
      </c>
      <c r="H549" s="911">
        <f>(50*12)*1</f>
        <v>600</v>
      </c>
      <c r="I549" s="48"/>
      <c r="J549" s="300"/>
      <c r="K549" s="48"/>
      <c r="L549" s="96">
        <f>H549+I549+J549+K549</f>
        <v>600</v>
      </c>
      <c r="M549" s="96">
        <v>1200</v>
      </c>
      <c r="N549" s="96">
        <v>1200</v>
      </c>
      <c r="O549" s="261"/>
    </row>
    <row r="550" spans="1:15" x14ac:dyDescent="0.25">
      <c r="A550" s="20"/>
      <c r="B550" s="22"/>
      <c r="C550" s="37" t="s">
        <v>234</v>
      </c>
      <c r="D550" s="52">
        <v>613321</v>
      </c>
      <c r="E550" s="85" t="s">
        <v>539</v>
      </c>
      <c r="F550" s="105">
        <v>2692</v>
      </c>
      <c r="G550" s="105">
        <v>3200</v>
      </c>
      <c r="H550" s="47">
        <f>3100+100</f>
        <v>3200</v>
      </c>
      <c r="I550" s="47"/>
      <c r="J550" s="47"/>
      <c r="K550" s="47"/>
      <c r="L550" s="105">
        <f>H550+I550+J550+K550</f>
        <v>3200</v>
      </c>
      <c r="M550" s="105">
        <v>2000</v>
      </c>
      <c r="N550" s="105">
        <v>2000</v>
      </c>
      <c r="O550" s="261"/>
    </row>
    <row r="551" spans="1:15" x14ac:dyDescent="0.25">
      <c r="A551" s="20"/>
      <c r="B551" s="22"/>
      <c r="C551" s="37" t="s">
        <v>234</v>
      </c>
      <c r="D551" s="52">
        <v>613323</v>
      </c>
      <c r="E551" s="444" t="s">
        <v>540</v>
      </c>
      <c r="F551" s="105">
        <v>1026</v>
      </c>
      <c r="G551" s="105">
        <v>1400</v>
      </c>
      <c r="H551" s="47">
        <v>1400</v>
      </c>
      <c r="I551" s="47"/>
      <c r="J551" s="47"/>
      <c r="K551" s="47"/>
      <c r="L551" s="105">
        <f>H551+I551+J551+K551</f>
        <v>1400</v>
      </c>
      <c r="M551" s="105">
        <v>1400</v>
      </c>
      <c r="N551" s="105">
        <v>1400</v>
      </c>
      <c r="O551" s="261"/>
    </row>
    <row r="552" spans="1:15" x14ac:dyDescent="0.25">
      <c r="A552" s="20"/>
      <c r="B552" s="22"/>
      <c r="C552" s="37" t="s">
        <v>234</v>
      </c>
      <c r="D552" s="37">
        <v>613400</v>
      </c>
      <c r="E552" s="81" t="s">
        <v>371</v>
      </c>
      <c r="F552" s="39">
        <f>F553+F554+F555+F556+F557</f>
        <v>48566</v>
      </c>
      <c r="G552" s="39">
        <f>G553+G554+G555+G556+G557</f>
        <v>64000</v>
      </c>
      <c r="H552" s="39">
        <f>H553+H554+H555+H556+H557</f>
        <v>25000</v>
      </c>
      <c r="I552" s="39">
        <f>I553+I554+I557</f>
        <v>0</v>
      </c>
      <c r="J552" s="62">
        <f>J553+J554+J557</f>
        <v>30000</v>
      </c>
      <c r="K552" s="39">
        <f>K553+K554+K557</f>
        <v>0</v>
      </c>
      <c r="L552" s="39">
        <f>L553+L554+L555+L556+L557</f>
        <v>55000</v>
      </c>
      <c r="M552" s="39">
        <f>M553+M554+M555+M556+M557</f>
        <v>45000</v>
      </c>
      <c r="N552" s="39">
        <f>N553+N554+N555+N556+N557</f>
        <v>45000</v>
      </c>
      <c r="O552" s="40"/>
    </row>
    <row r="553" spans="1:15" x14ac:dyDescent="0.25">
      <c r="A553" s="20"/>
      <c r="B553" s="22"/>
      <c r="C553" s="37" t="s">
        <v>234</v>
      </c>
      <c r="D553" s="37"/>
      <c r="E553" s="38" t="s">
        <v>181</v>
      </c>
      <c r="F553" s="39">
        <v>892</v>
      </c>
      <c r="G553" s="39">
        <f>10000-5000</f>
        <v>5000</v>
      </c>
      <c r="H553" s="47">
        <f>5000+15000</f>
        <v>20000</v>
      </c>
      <c r="I553" s="45"/>
      <c r="J553" s="47"/>
      <c r="K553" s="45"/>
      <c r="L553" s="39">
        <f t="shared" ref="L553:L563" si="122">H553+I553+J553+K553</f>
        <v>20000</v>
      </c>
      <c r="M553" s="39">
        <f>10000</f>
        <v>10000</v>
      </c>
      <c r="N553" s="876">
        <f>10000</f>
        <v>10000</v>
      </c>
      <c r="O553" s="40"/>
    </row>
    <row r="554" spans="1:15" x14ac:dyDescent="0.25">
      <c r="A554" s="20"/>
      <c r="B554" s="22"/>
      <c r="C554" s="37"/>
      <c r="D554" s="37"/>
      <c r="E554" s="122" t="s">
        <v>431</v>
      </c>
      <c r="F554" s="39">
        <v>17854</v>
      </c>
      <c r="G554" s="39">
        <v>20000</v>
      </c>
      <c r="H554" s="313">
        <f>40000-40000</f>
        <v>0</v>
      </c>
      <c r="I554" s="45"/>
      <c r="J554" s="47"/>
      <c r="K554" s="45"/>
      <c r="L554" s="39">
        <f t="shared" si="122"/>
        <v>0</v>
      </c>
      <c r="M554" s="553">
        <f>40000-40000</f>
        <v>0</v>
      </c>
      <c r="N554" s="918">
        <f>40000-40000</f>
        <v>0</v>
      </c>
      <c r="O554" s="40"/>
    </row>
    <row r="555" spans="1:15" x14ac:dyDescent="0.25">
      <c r="A555" s="20"/>
      <c r="B555" s="22"/>
      <c r="C555" s="37"/>
      <c r="D555" s="37"/>
      <c r="E555" s="122" t="s">
        <v>449</v>
      </c>
      <c r="F555" s="39">
        <v>8565</v>
      </c>
      <c r="G555" s="39"/>
      <c r="H555" s="47">
        <f>5000</f>
        <v>5000</v>
      </c>
      <c r="I555" s="45"/>
      <c r="J555" s="47"/>
      <c r="K555" s="45"/>
      <c r="L555" s="39">
        <f t="shared" si="122"/>
        <v>5000</v>
      </c>
      <c r="M555" s="39">
        <v>5000</v>
      </c>
      <c r="N555" s="39">
        <v>5000</v>
      </c>
      <c r="O555" s="40"/>
    </row>
    <row r="556" spans="1:15" x14ac:dyDescent="0.25">
      <c r="A556" s="20"/>
      <c r="B556" s="22"/>
      <c r="C556" s="37"/>
      <c r="D556" s="37">
        <v>613487</v>
      </c>
      <c r="E556" s="122" t="s">
        <v>452</v>
      </c>
      <c r="F556" s="39">
        <f>30000-30000</f>
        <v>0</v>
      </c>
      <c r="G556" s="39">
        <f>30000-30000</f>
        <v>0</v>
      </c>
      <c r="H556" s="45">
        <f>30000-30000</f>
        <v>0</v>
      </c>
      <c r="I556" s="45"/>
      <c r="J556" s="47"/>
      <c r="K556" s="45"/>
      <c r="L556" s="39">
        <f t="shared" si="122"/>
        <v>0</v>
      </c>
      <c r="M556" s="39">
        <f>30000-30000</f>
        <v>0</v>
      </c>
      <c r="N556" s="39">
        <f>30000-30000</f>
        <v>0</v>
      </c>
      <c r="O556" s="40"/>
    </row>
    <row r="557" spans="1:15" ht="45.75" x14ac:dyDescent="0.25">
      <c r="A557" s="497"/>
      <c r="B557" s="483"/>
      <c r="C557" s="248" t="s">
        <v>234</v>
      </c>
      <c r="D557" s="248">
        <v>613400</v>
      </c>
      <c r="E557" s="498" t="s">
        <v>453</v>
      </c>
      <c r="F557" s="250">
        <v>21255</v>
      </c>
      <c r="G557" s="250">
        <v>39000</v>
      </c>
      <c r="H557" s="264"/>
      <c r="I557" s="264"/>
      <c r="J557" s="264">
        <f>39000-9000</f>
        <v>30000</v>
      </c>
      <c r="K557" s="264"/>
      <c r="L557" s="250">
        <f t="shared" si="122"/>
        <v>30000</v>
      </c>
      <c r="M557" s="250">
        <f>36068-6068</f>
        <v>30000</v>
      </c>
      <c r="N557" s="250">
        <f>36068-6068</f>
        <v>30000</v>
      </c>
      <c r="O557" s="772"/>
    </row>
    <row r="558" spans="1:15" x14ac:dyDescent="0.25">
      <c r="A558" s="20"/>
      <c r="B558" s="22"/>
      <c r="C558" s="37" t="s">
        <v>234</v>
      </c>
      <c r="D558" s="37">
        <v>613500</v>
      </c>
      <c r="E558" s="63" t="s">
        <v>127</v>
      </c>
      <c r="F558" s="39"/>
      <c r="G558" s="39">
        <v>3000</v>
      </c>
      <c r="H558" s="47">
        <v>3000</v>
      </c>
      <c r="I558" s="47"/>
      <c r="J558" s="47"/>
      <c r="K558" s="47"/>
      <c r="L558" s="39">
        <f t="shared" si="122"/>
        <v>3000</v>
      </c>
      <c r="M558" s="39">
        <v>3000</v>
      </c>
      <c r="N558" s="39">
        <v>3000</v>
      </c>
      <c r="O558" s="40"/>
    </row>
    <row r="559" spans="1:15" x14ac:dyDescent="0.25">
      <c r="A559" s="266"/>
      <c r="B559" s="22"/>
      <c r="C559" s="100"/>
      <c r="D559" s="100">
        <v>613523</v>
      </c>
      <c r="E559" s="268" t="s">
        <v>198</v>
      </c>
      <c r="F559" s="62"/>
      <c r="G559" s="62">
        <v>3000</v>
      </c>
      <c r="H559" s="47">
        <v>3000</v>
      </c>
      <c r="I559" s="45"/>
      <c r="J559" s="47"/>
      <c r="K559" s="45"/>
      <c r="L559" s="62">
        <f t="shared" si="122"/>
        <v>3000</v>
      </c>
      <c r="M559" s="62">
        <v>3000</v>
      </c>
      <c r="N559" s="62">
        <v>3000</v>
      </c>
      <c r="O559" s="301"/>
    </row>
    <row r="560" spans="1:15" x14ac:dyDescent="0.25">
      <c r="A560" s="20"/>
      <c r="B560" s="22"/>
      <c r="C560" s="37" t="s">
        <v>234</v>
      </c>
      <c r="D560" s="37">
        <v>613700</v>
      </c>
      <c r="E560" s="63" t="s">
        <v>152</v>
      </c>
      <c r="F560" s="39"/>
      <c r="G560" s="39">
        <v>39570</v>
      </c>
      <c r="H560" s="61">
        <f>H561+H562+H563</f>
        <v>30000</v>
      </c>
      <c r="I560" s="61">
        <f>I561</f>
        <v>0</v>
      </c>
      <c r="J560" s="117">
        <f>J561+J562+J563</f>
        <v>0</v>
      </c>
      <c r="K560" s="61">
        <f>K561</f>
        <v>0</v>
      </c>
      <c r="L560" s="62">
        <f t="shared" si="122"/>
        <v>30000</v>
      </c>
      <c r="M560" s="553">
        <v>30000</v>
      </c>
      <c r="N560" s="553">
        <v>30000</v>
      </c>
      <c r="O560" s="40"/>
    </row>
    <row r="561" spans="1:17" x14ac:dyDescent="0.25">
      <c r="A561" s="20"/>
      <c r="B561" s="22"/>
      <c r="C561" s="37" t="s">
        <v>234</v>
      </c>
      <c r="D561" s="37">
        <v>613722</v>
      </c>
      <c r="E561" s="63" t="s">
        <v>405</v>
      </c>
      <c r="F561" s="39"/>
      <c r="G561" s="39">
        <v>38570</v>
      </c>
      <c r="H561" s="47">
        <f>15000+15000</f>
        <v>30000</v>
      </c>
      <c r="I561" s="45"/>
      <c r="J561" s="47"/>
      <c r="K561" s="45">
        <f>K562</f>
        <v>0</v>
      </c>
      <c r="L561" s="39">
        <f t="shared" si="122"/>
        <v>30000</v>
      </c>
      <c r="M561" s="39">
        <f>15000+15000</f>
        <v>30000</v>
      </c>
      <c r="N561" s="39">
        <f>15000+15000</f>
        <v>30000</v>
      </c>
      <c r="O561" s="40"/>
    </row>
    <row r="562" spans="1:17" ht="76.5" customHeight="1" x14ac:dyDescent="0.25">
      <c r="A562" s="497"/>
      <c r="B562" s="483"/>
      <c r="C562" s="248"/>
      <c r="D562" s="248"/>
      <c r="E562" s="249" t="s">
        <v>328</v>
      </c>
      <c r="F562" s="250"/>
      <c r="G562" s="250">
        <v>8570</v>
      </c>
      <c r="H562" s="264"/>
      <c r="I562" s="264"/>
      <c r="J562" s="264"/>
      <c r="K562" s="264"/>
      <c r="L562" s="250">
        <f t="shared" si="122"/>
        <v>0</v>
      </c>
      <c r="M562" s="250"/>
      <c r="N562" s="250"/>
      <c r="O562" s="772"/>
    </row>
    <row r="563" spans="1:17" ht="30" x14ac:dyDescent="0.25">
      <c r="A563" s="497"/>
      <c r="B563" s="483"/>
      <c r="C563" s="248"/>
      <c r="D563" s="248"/>
      <c r="E563" s="572" t="s">
        <v>441</v>
      </c>
      <c r="F563" s="250"/>
      <c r="G563" s="250">
        <v>1000</v>
      </c>
      <c r="H563" s="264"/>
      <c r="I563" s="264"/>
      <c r="J563" s="264">
        <f>1000-500-500</f>
        <v>0</v>
      </c>
      <c r="K563" s="264"/>
      <c r="L563" s="250">
        <f t="shared" si="122"/>
        <v>0</v>
      </c>
      <c r="M563" s="250"/>
      <c r="N563" s="250"/>
      <c r="O563" s="772"/>
    </row>
    <row r="564" spans="1:17" x14ac:dyDescent="0.25">
      <c r="A564" s="23"/>
      <c r="B564" s="296"/>
      <c r="C564" s="161" t="s">
        <v>234</v>
      </c>
      <c r="D564" s="161">
        <v>613800</v>
      </c>
      <c r="E564" s="460" t="s">
        <v>372</v>
      </c>
      <c r="F564" s="96"/>
      <c r="G564" s="96">
        <v>10000</v>
      </c>
      <c r="H564" s="96">
        <f>H565+H566</f>
        <v>7200</v>
      </c>
      <c r="I564" s="96">
        <f>I565+I566</f>
        <v>0</v>
      </c>
      <c r="J564" s="105">
        <f>J565+J566</f>
        <v>0</v>
      </c>
      <c r="K564" s="96">
        <f>K565+K566</f>
        <v>0</v>
      </c>
      <c r="L564" s="96">
        <f>L565+L566</f>
        <v>7200</v>
      </c>
      <c r="M564" s="96">
        <f t="shared" ref="M564:N564" si="123">M565+M566</f>
        <v>7200</v>
      </c>
      <c r="N564" s="96">
        <f t="shared" si="123"/>
        <v>7200</v>
      </c>
      <c r="O564" s="261"/>
    </row>
    <row r="565" spans="1:17" x14ac:dyDescent="0.25">
      <c r="A565" s="20"/>
      <c r="B565" s="266"/>
      <c r="C565" s="128" t="s">
        <v>234</v>
      </c>
      <c r="D565" s="128">
        <v>613813</v>
      </c>
      <c r="E565" s="63" t="s">
        <v>161</v>
      </c>
      <c r="F565" s="39"/>
      <c r="G565" s="39">
        <v>5000</v>
      </c>
      <c r="H565" s="47">
        <f>4200+800-800</f>
        <v>4200</v>
      </c>
      <c r="I565" s="45"/>
      <c r="J565" s="47"/>
      <c r="K565" s="45"/>
      <c r="L565" s="62">
        <f>H565+I565+J565+K565</f>
        <v>4200</v>
      </c>
      <c r="M565" s="39">
        <f>2200+2000</f>
        <v>4200</v>
      </c>
      <c r="N565" s="39">
        <f>2200+2000</f>
        <v>4200</v>
      </c>
      <c r="O565" s="40"/>
    </row>
    <row r="566" spans="1:17" x14ac:dyDescent="0.25">
      <c r="A566" s="20"/>
      <c r="B566" s="266"/>
      <c r="C566" s="128" t="s">
        <v>234</v>
      </c>
      <c r="D566" s="128">
        <v>613814</v>
      </c>
      <c r="E566" s="63" t="s">
        <v>162</v>
      </c>
      <c r="F566" s="39"/>
      <c r="G566" s="39">
        <v>5000</v>
      </c>
      <c r="H566" s="47">
        <f>3000+2000-2000</f>
        <v>3000</v>
      </c>
      <c r="I566" s="45"/>
      <c r="J566" s="47"/>
      <c r="K566" s="45"/>
      <c r="L566" s="62">
        <f>H566+I566+J566+K566</f>
        <v>3000</v>
      </c>
      <c r="M566" s="39">
        <f>2000+1000</f>
        <v>3000</v>
      </c>
      <c r="N566" s="39">
        <f>2000+1000</f>
        <v>3000</v>
      </c>
      <c r="O566" s="40"/>
    </row>
    <row r="567" spans="1:17" x14ac:dyDescent="0.25">
      <c r="A567" s="23"/>
      <c r="B567" s="296"/>
      <c r="C567" s="52" t="s">
        <v>234</v>
      </c>
      <c r="D567" s="52">
        <v>613900</v>
      </c>
      <c r="E567" s="49" t="s">
        <v>151</v>
      </c>
      <c r="F567" s="96">
        <f>F568+F569+F570+F571+F572+F573+F574+F575+F576+F577+F579+F580+F581+F582+F585+F587+F588</f>
        <v>256606</v>
      </c>
      <c r="G567" s="96">
        <f>G568+G569+G570+G571+G572+G573+G574+G575+G576+G577+G579+G580+G581+G582+G585+G587+G588</f>
        <v>578144</v>
      </c>
      <c r="H567" s="96">
        <f>H568+H569+H570+H571+H572+H573+H574+H575+H576+H577+H579+H580+H581+H582+H583+H584+H585+H586+H587</f>
        <v>53000</v>
      </c>
      <c r="I567" s="897">
        <f t="shared" ref="I567:N567" si="124">I568+I569+I570+I571+I572+I573+I574+I575+I576+I577+I579+I580+I581+I582+I583+I584+I585+I586+I587</f>
        <v>0</v>
      </c>
      <c r="J567" s="897">
        <f t="shared" si="124"/>
        <v>474045</v>
      </c>
      <c r="K567" s="897">
        <f t="shared" si="124"/>
        <v>-0.31999999999970896</v>
      </c>
      <c r="L567" s="897">
        <f t="shared" si="124"/>
        <v>527044.67999999993</v>
      </c>
      <c r="M567" s="897">
        <f t="shared" si="124"/>
        <v>508702</v>
      </c>
      <c r="N567" s="897">
        <f t="shared" si="124"/>
        <v>508702</v>
      </c>
      <c r="O567" s="261"/>
    </row>
    <row r="568" spans="1:17" x14ac:dyDescent="0.25">
      <c r="A568" s="23"/>
      <c r="B568" s="623"/>
      <c r="C568" s="52" t="s">
        <v>234</v>
      </c>
      <c r="D568" s="37">
        <v>613914</v>
      </c>
      <c r="E568" s="85" t="s">
        <v>521</v>
      </c>
      <c r="F568" s="96">
        <v>250</v>
      </c>
      <c r="G568" s="96">
        <v>1000</v>
      </c>
      <c r="H568" s="50">
        <v>1000</v>
      </c>
      <c r="I568" s="50"/>
      <c r="J568" s="53"/>
      <c r="K568" s="50"/>
      <c r="L568" s="96">
        <f t="shared" ref="L568:L585" si="125">H568+I568+J568+K568</f>
        <v>1000</v>
      </c>
      <c r="M568" s="96">
        <v>1000</v>
      </c>
      <c r="N568" s="96">
        <v>1000</v>
      </c>
      <c r="O568" s="261"/>
    </row>
    <row r="569" spans="1:17" ht="30.75" x14ac:dyDescent="0.25">
      <c r="A569" s="20"/>
      <c r="B569" s="22"/>
      <c r="C569" s="37" t="s">
        <v>234</v>
      </c>
      <c r="D569" s="138">
        <v>613920</v>
      </c>
      <c r="E569" s="86" t="s">
        <v>81</v>
      </c>
      <c r="F569" s="39"/>
      <c r="G569" s="39">
        <f>900+3100</f>
        <v>4000</v>
      </c>
      <c r="H569" s="45">
        <f>900+3100-3000</f>
        <v>1000</v>
      </c>
      <c r="I569" s="45"/>
      <c r="J569" s="47"/>
      <c r="K569" s="45"/>
      <c r="L569" s="39">
        <f t="shared" si="125"/>
        <v>1000</v>
      </c>
      <c r="M569" s="39">
        <f>900+3100-3000</f>
        <v>1000</v>
      </c>
      <c r="N569" s="39">
        <f>900+3100-3000</f>
        <v>1000</v>
      </c>
      <c r="O569" s="40"/>
    </row>
    <row r="570" spans="1:17" x14ac:dyDescent="0.25">
      <c r="A570" s="20"/>
      <c r="B570" s="22"/>
      <c r="C570" s="37" t="s">
        <v>234</v>
      </c>
      <c r="D570" s="138">
        <v>613940</v>
      </c>
      <c r="E570" s="86" t="s">
        <v>506</v>
      </c>
      <c r="F570" s="39"/>
      <c r="G570" s="39">
        <v>4000</v>
      </c>
      <c r="H570" s="45">
        <f>3500+500-500</f>
        <v>3500</v>
      </c>
      <c r="I570" s="45"/>
      <c r="J570" s="47"/>
      <c r="K570" s="45"/>
      <c r="L570" s="39">
        <f t="shared" si="125"/>
        <v>3500</v>
      </c>
      <c r="M570" s="39">
        <v>3500</v>
      </c>
      <c r="N570" s="39">
        <v>3500</v>
      </c>
      <c r="O570" s="40"/>
      <c r="P570" s="755" t="s">
        <v>939</v>
      </c>
      <c r="Q570" s="731" t="s">
        <v>940</v>
      </c>
    </row>
    <row r="571" spans="1:17" x14ac:dyDescent="0.25">
      <c r="A571" s="497"/>
      <c r="B571" s="483"/>
      <c r="C571" s="248" t="s">
        <v>234</v>
      </c>
      <c r="D571" s="248">
        <v>613991</v>
      </c>
      <c r="E571" s="499" t="s">
        <v>507</v>
      </c>
      <c r="F571" s="250"/>
      <c r="G571" s="250"/>
      <c r="H571" s="264"/>
      <c r="I571" s="264"/>
      <c r="J571" s="264">
        <v>10000</v>
      </c>
      <c r="K571" s="264"/>
      <c r="L571" s="250">
        <f t="shared" si="125"/>
        <v>10000</v>
      </c>
      <c r="M571" s="250">
        <v>10000</v>
      </c>
      <c r="N571" s="250">
        <v>10000</v>
      </c>
      <c r="O571" s="772" t="s">
        <v>551</v>
      </c>
      <c r="P571" s="760">
        <f>PRIMICI!G69++PRIMICI!G88+PRIMICI!G89+PRIMICI!G90+PRIMICI!G91+PRIMICI!G143</f>
        <v>1395031</v>
      </c>
      <c r="Q571" s="804">
        <f>PRIMICI!G76+PRIMICI!G144</f>
        <v>748927</v>
      </c>
    </row>
    <row r="572" spans="1:17" ht="30.75" x14ac:dyDescent="0.25">
      <c r="A572" s="20"/>
      <c r="B572" s="22"/>
      <c r="C572" s="37" t="s">
        <v>234</v>
      </c>
      <c r="D572" s="37">
        <v>613974</v>
      </c>
      <c r="E572" s="44" t="s">
        <v>508</v>
      </c>
      <c r="F572" s="39">
        <v>2958</v>
      </c>
      <c r="G572" s="39">
        <v>5000</v>
      </c>
      <c r="H572" s="45">
        <v>5000</v>
      </c>
      <c r="I572" s="45"/>
      <c r="J572" s="47"/>
      <c r="K572" s="45"/>
      <c r="L572" s="39">
        <f t="shared" si="125"/>
        <v>5000</v>
      </c>
      <c r="M572" s="39">
        <v>5000</v>
      </c>
      <c r="N572" s="39">
        <v>5000</v>
      </c>
      <c r="O572" s="40" t="s">
        <v>550</v>
      </c>
      <c r="P572" s="760">
        <f>J557+J563+J575+J576+J577+J579+J580+J581+J582+J588+J592+J593+J594+J595+J604+J605+J606+J607+J609+J618</f>
        <v>1395031</v>
      </c>
      <c r="Q572" s="804">
        <f>J620</f>
        <v>748927</v>
      </c>
    </row>
    <row r="573" spans="1:17" x14ac:dyDescent="0.25">
      <c r="A573" s="20"/>
      <c r="B573" s="22"/>
      <c r="C573" s="37" t="s">
        <v>234</v>
      </c>
      <c r="D573" s="37">
        <v>613974</v>
      </c>
      <c r="E573" s="44" t="s">
        <v>509</v>
      </c>
      <c r="F573" s="39">
        <v>22799</v>
      </c>
      <c r="G573" s="39">
        <v>25000</v>
      </c>
      <c r="H573" s="45">
        <f>25000+1500</f>
        <v>26500</v>
      </c>
      <c r="I573" s="45"/>
      <c r="J573" s="47"/>
      <c r="K573" s="45"/>
      <c r="L573" s="39">
        <f t="shared" si="125"/>
        <v>26500</v>
      </c>
      <c r="M573" s="39">
        <v>25000</v>
      </c>
      <c r="N573" s="39">
        <v>25000</v>
      </c>
      <c r="O573" s="40"/>
    </row>
    <row r="574" spans="1:17" x14ac:dyDescent="0.25">
      <c r="A574" s="497"/>
      <c r="B574" s="483"/>
      <c r="C574" s="248" t="s">
        <v>234</v>
      </c>
      <c r="D574" s="248">
        <v>613991</v>
      </c>
      <c r="E574" s="249" t="s">
        <v>510</v>
      </c>
      <c r="F574" s="250"/>
      <c r="G574" s="250"/>
      <c r="H574" s="264"/>
      <c r="I574" s="264"/>
      <c r="J574" s="264"/>
      <c r="K574" s="264"/>
      <c r="L574" s="250">
        <f t="shared" si="125"/>
        <v>0</v>
      </c>
      <c r="M574" s="250"/>
      <c r="N574" s="250"/>
      <c r="O574" s="772"/>
      <c r="P574" s="760">
        <f>P571-P572</f>
        <v>0</v>
      </c>
      <c r="Q574" s="804">
        <f>Q571-Q572</f>
        <v>0</v>
      </c>
    </row>
    <row r="575" spans="1:17" ht="90" x14ac:dyDescent="0.25">
      <c r="A575" s="497"/>
      <c r="B575" s="483"/>
      <c r="C575" s="248" t="s">
        <v>234</v>
      </c>
      <c r="D575" s="248">
        <v>613991</v>
      </c>
      <c r="E575" s="500" t="s">
        <v>511</v>
      </c>
      <c r="F575" s="250"/>
      <c r="G575" s="250">
        <v>63409</v>
      </c>
      <c r="H575" s="264"/>
      <c r="I575" s="264"/>
      <c r="J575" s="264">
        <v>67792</v>
      </c>
      <c r="K575" s="264"/>
      <c r="L575" s="250">
        <f t="shared" si="125"/>
        <v>67792</v>
      </c>
      <c r="M575" s="250">
        <v>67792</v>
      </c>
      <c r="N575" s="250">
        <v>67792</v>
      </c>
      <c r="O575" s="772"/>
    </row>
    <row r="576" spans="1:17" ht="30.75" x14ac:dyDescent="0.25">
      <c r="A576" s="497"/>
      <c r="B576" s="483"/>
      <c r="C576" s="248" t="s">
        <v>234</v>
      </c>
      <c r="D576" s="501">
        <v>613991</v>
      </c>
      <c r="E576" s="498" t="s">
        <v>512</v>
      </c>
      <c r="F576" s="264"/>
      <c r="G576" s="264">
        <v>24409</v>
      </c>
      <c r="H576" s="264"/>
      <c r="I576" s="264"/>
      <c r="J576" s="264">
        <v>24410</v>
      </c>
      <c r="K576" s="264"/>
      <c r="L576" s="250">
        <f t="shared" si="125"/>
        <v>24410</v>
      </c>
      <c r="M576" s="264">
        <v>24410</v>
      </c>
      <c r="N576" s="264">
        <v>24410</v>
      </c>
      <c r="O576" s="773"/>
    </row>
    <row r="577" spans="1:16" ht="30.75" x14ac:dyDescent="0.25">
      <c r="A577" s="497"/>
      <c r="B577" s="483"/>
      <c r="C577" s="248" t="s">
        <v>234</v>
      </c>
      <c r="D577" s="501">
        <v>613991</v>
      </c>
      <c r="E577" s="498" t="s">
        <v>513</v>
      </c>
      <c r="F577" s="264">
        <v>7898</v>
      </c>
      <c r="G577" s="264">
        <v>84596</v>
      </c>
      <c r="H577" s="264"/>
      <c r="I577" s="264"/>
      <c r="J577" s="264">
        <v>63396</v>
      </c>
      <c r="K577" s="264"/>
      <c r="L577" s="250">
        <f t="shared" si="125"/>
        <v>63396</v>
      </c>
      <c r="M577" s="264">
        <f>70000-20000</f>
        <v>50000</v>
      </c>
      <c r="N577" s="264">
        <f>70000-20000</f>
        <v>50000</v>
      </c>
      <c r="O577" s="773"/>
    </row>
    <row r="578" spans="1:16" ht="85.5" customHeight="1" x14ac:dyDescent="0.25">
      <c r="A578" s="497"/>
      <c r="B578" s="483"/>
      <c r="C578" s="248"/>
      <c r="D578" s="501"/>
      <c r="E578" s="509" t="s">
        <v>485</v>
      </c>
      <c r="F578" s="264"/>
      <c r="G578" s="264">
        <v>45000</v>
      </c>
      <c r="H578" s="264"/>
      <c r="I578" s="264"/>
      <c r="J578" s="264">
        <v>22500</v>
      </c>
      <c r="K578" s="264"/>
      <c r="L578" s="250">
        <f t="shared" si="125"/>
        <v>22500</v>
      </c>
      <c r="M578" s="264"/>
      <c r="N578" s="264"/>
      <c r="O578" s="773"/>
    </row>
    <row r="579" spans="1:16" ht="150" x14ac:dyDescent="0.25">
      <c r="A579" s="497"/>
      <c r="B579" s="483"/>
      <c r="C579" s="248" t="s">
        <v>234</v>
      </c>
      <c r="D579" s="501">
        <v>613991</v>
      </c>
      <c r="E579" s="509" t="s">
        <v>514</v>
      </c>
      <c r="F579" s="264">
        <v>87862</v>
      </c>
      <c r="G579" s="264">
        <v>100000</v>
      </c>
      <c r="H579" s="264"/>
      <c r="I579" s="264"/>
      <c r="J579" s="264">
        <v>100000</v>
      </c>
      <c r="K579" s="264"/>
      <c r="L579" s="250">
        <f t="shared" si="125"/>
        <v>100000</v>
      </c>
      <c r="M579" s="264">
        <v>100000</v>
      </c>
      <c r="N579" s="264">
        <v>100000</v>
      </c>
      <c r="O579" s="773"/>
    </row>
    <row r="580" spans="1:16" ht="135" x14ac:dyDescent="0.25">
      <c r="A580" s="497"/>
      <c r="B580" s="483"/>
      <c r="C580" s="248" t="s">
        <v>234</v>
      </c>
      <c r="D580" s="501">
        <v>613991</v>
      </c>
      <c r="E580" s="509" t="s">
        <v>515</v>
      </c>
      <c r="F580" s="264">
        <v>80509</v>
      </c>
      <c r="G580" s="264">
        <v>84638</v>
      </c>
      <c r="H580" s="264"/>
      <c r="I580" s="264"/>
      <c r="J580" s="264">
        <v>103447</v>
      </c>
      <c r="K580" s="264"/>
      <c r="L580" s="250">
        <f t="shared" si="125"/>
        <v>103447</v>
      </c>
      <c r="M580" s="264">
        <v>100000</v>
      </c>
      <c r="N580" s="264">
        <v>100000</v>
      </c>
      <c r="O580" s="773"/>
    </row>
    <row r="581" spans="1:16" ht="150" x14ac:dyDescent="0.25">
      <c r="A581" s="497"/>
      <c r="B581" s="483"/>
      <c r="C581" s="248" t="s">
        <v>234</v>
      </c>
      <c r="D581" s="502">
        <v>613991</v>
      </c>
      <c r="E581" s="509" t="s">
        <v>516</v>
      </c>
      <c r="F581" s="264"/>
      <c r="G581" s="264">
        <v>100000</v>
      </c>
      <c r="H581" s="264"/>
      <c r="I581" s="264"/>
      <c r="J581" s="264">
        <v>100000</v>
      </c>
      <c r="K581" s="264"/>
      <c r="L581" s="250">
        <f t="shared" si="125"/>
        <v>100000</v>
      </c>
      <c r="M581" s="264">
        <v>100000</v>
      </c>
      <c r="N581" s="264">
        <v>100000</v>
      </c>
      <c r="O581" s="773"/>
    </row>
    <row r="582" spans="1:16" ht="90" x14ac:dyDescent="0.25">
      <c r="A582" s="497"/>
      <c r="B582" s="483"/>
      <c r="C582" s="248" t="s">
        <v>234</v>
      </c>
      <c r="D582" s="501">
        <v>613991</v>
      </c>
      <c r="E582" s="509" t="s">
        <v>517</v>
      </c>
      <c r="F582" s="264"/>
      <c r="G582" s="264">
        <v>5000</v>
      </c>
      <c r="H582" s="264"/>
      <c r="I582" s="264"/>
      <c r="J582" s="264">
        <v>5000</v>
      </c>
      <c r="K582" s="264"/>
      <c r="L582" s="250">
        <f t="shared" si="125"/>
        <v>5000</v>
      </c>
      <c r="M582" s="264">
        <v>5000</v>
      </c>
      <c r="N582" s="264">
        <v>5000</v>
      </c>
      <c r="O582" s="773"/>
    </row>
    <row r="583" spans="1:16" ht="30.75" x14ac:dyDescent="0.25">
      <c r="A583" s="266"/>
      <c r="B583" s="22"/>
      <c r="C583" s="898" t="s">
        <v>234</v>
      </c>
      <c r="D583" s="898">
        <v>613991</v>
      </c>
      <c r="E583" s="902" t="s">
        <v>1039</v>
      </c>
      <c r="F583" s="909"/>
      <c r="G583" s="909"/>
      <c r="H583" s="909">
        <f>4000-1000</f>
        <v>3000</v>
      </c>
      <c r="I583" s="909"/>
      <c r="J583" s="909"/>
      <c r="K583" s="909"/>
      <c r="L583" s="885">
        <f t="shared" si="125"/>
        <v>3000</v>
      </c>
      <c r="M583" s="909">
        <v>3000</v>
      </c>
      <c r="N583" s="909">
        <v>3000</v>
      </c>
      <c r="O583" s="773"/>
      <c r="P583" s="952"/>
    </row>
    <row r="584" spans="1:16" ht="30.75" customHeight="1" x14ac:dyDescent="0.25">
      <c r="A584" s="266"/>
      <c r="B584" s="22"/>
      <c r="C584" s="898" t="s">
        <v>234</v>
      </c>
      <c r="D584" s="898">
        <v>613991</v>
      </c>
      <c r="E584" s="902" t="s">
        <v>1040</v>
      </c>
      <c r="F584" s="909"/>
      <c r="G584" s="909"/>
      <c r="H584" s="909">
        <v>3000</v>
      </c>
      <c r="I584" s="909"/>
      <c r="J584" s="909"/>
      <c r="K584" s="909"/>
      <c r="L584" s="885">
        <f t="shared" si="125"/>
        <v>3000</v>
      </c>
      <c r="M584" s="909">
        <v>3000</v>
      </c>
      <c r="N584" s="909">
        <v>3000</v>
      </c>
      <c r="O584" s="773"/>
      <c r="P584" s="952"/>
    </row>
    <row r="585" spans="1:16" ht="75" customHeight="1" x14ac:dyDescent="0.25">
      <c r="A585" s="538"/>
      <c r="B585" s="539"/>
      <c r="C585" s="540" t="s">
        <v>238</v>
      </c>
      <c r="D585" s="541">
        <v>613991</v>
      </c>
      <c r="E585" s="542" t="s">
        <v>1041</v>
      </c>
      <c r="F585" s="333">
        <v>54330</v>
      </c>
      <c r="G585" s="333">
        <v>47092</v>
      </c>
      <c r="H585" s="333"/>
      <c r="I585" s="333"/>
      <c r="J585" s="333"/>
      <c r="K585" s="333">
        <f>(45047-35700)+37744.68-47092</f>
        <v>-0.31999999999970896</v>
      </c>
      <c r="L585" s="317">
        <f t="shared" si="125"/>
        <v>-0.31999999999970896</v>
      </c>
      <c r="M585" s="333"/>
      <c r="N585" s="333"/>
      <c r="O585" s="774"/>
    </row>
    <row r="586" spans="1:16" ht="60" x14ac:dyDescent="0.25">
      <c r="A586" s="538"/>
      <c r="B586" s="539"/>
      <c r="C586" s="540"/>
      <c r="D586" s="541"/>
      <c r="E586" s="681" t="s">
        <v>264</v>
      </c>
      <c r="F586" s="333"/>
      <c r="G586" s="333"/>
      <c r="H586" s="333"/>
      <c r="I586" s="333"/>
      <c r="J586" s="333"/>
      <c r="K586" s="333"/>
      <c r="L586" s="317"/>
      <c r="M586" s="333"/>
      <c r="N586" s="333"/>
      <c r="O586" s="774"/>
    </row>
    <row r="587" spans="1:16" ht="30.75" x14ac:dyDescent="0.25">
      <c r="A587" s="266"/>
      <c r="B587" s="22"/>
      <c r="C587" s="100" t="s">
        <v>238</v>
      </c>
      <c r="D587" s="570">
        <v>613991</v>
      </c>
      <c r="E587" s="571" t="s">
        <v>1042</v>
      </c>
      <c r="F587" s="47"/>
      <c r="G587" s="47">
        <f>5000+5000</f>
        <v>10000</v>
      </c>
      <c r="H587" s="47">
        <f>5000+5000</f>
        <v>10000</v>
      </c>
      <c r="I587" s="47"/>
      <c r="J587" s="47"/>
      <c r="K587" s="47"/>
      <c r="L587" s="62">
        <f>H587+I587+J587+K587</f>
        <v>10000</v>
      </c>
      <c r="M587" s="47">
        <f>5000+5000</f>
        <v>10000</v>
      </c>
      <c r="N587" s="47">
        <f>5000+5000</f>
        <v>10000</v>
      </c>
      <c r="O587" s="598"/>
    </row>
    <row r="588" spans="1:16" ht="30" x14ac:dyDescent="0.25">
      <c r="A588" s="266"/>
      <c r="B588" s="22"/>
      <c r="C588" s="248" t="s">
        <v>234</v>
      </c>
      <c r="D588" s="248">
        <v>613991</v>
      </c>
      <c r="E588" s="500" t="s">
        <v>1043</v>
      </c>
      <c r="F588" s="250"/>
      <c r="G588" s="250">
        <v>20000</v>
      </c>
      <c r="H588" s="264"/>
      <c r="I588" s="264"/>
      <c r="J588" s="264">
        <v>20000</v>
      </c>
      <c r="K588" s="264"/>
      <c r="L588" s="250">
        <f>H588+I588+J588+K588</f>
        <v>20000</v>
      </c>
      <c r="M588" s="250">
        <v>20000</v>
      </c>
      <c r="N588" s="250">
        <v>20000</v>
      </c>
      <c r="O588" s="598"/>
    </row>
    <row r="589" spans="1:16" x14ac:dyDescent="0.25">
      <c r="A589" s="497"/>
      <c r="B589" s="483"/>
      <c r="C589" s="504"/>
      <c r="D589" s="505">
        <v>613000</v>
      </c>
      <c r="E589" s="506" t="s">
        <v>15</v>
      </c>
      <c r="F589" s="507">
        <f t="shared" ref="F589:N589" si="126">F544+F545+F546+F552+F558+F560+F564+F567</f>
        <v>322490</v>
      </c>
      <c r="G589" s="507">
        <f t="shared" si="126"/>
        <v>715014</v>
      </c>
      <c r="H589" s="507">
        <f t="shared" si="126"/>
        <v>136900</v>
      </c>
      <c r="I589" s="507">
        <f t="shared" si="126"/>
        <v>0</v>
      </c>
      <c r="J589" s="507">
        <f t="shared" si="126"/>
        <v>504045</v>
      </c>
      <c r="K589" s="507">
        <f t="shared" si="126"/>
        <v>-0.31999999999970896</v>
      </c>
      <c r="L589" s="507">
        <f t="shared" si="126"/>
        <v>640944.67999999993</v>
      </c>
      <c r="M589" s="507">
        <f t="shared" si="126"/>
        <v>613002</v>
      </c>
      <c r="N589" s="507">
        <f t="shared" si="126"/>
        <v>613002</v>
      </c>
      <c r="O589" s="507"/>
    </row>
    <row r="590" spans="1:16" x14ac:dyDescent="0.25">
      <c r="A590" s="266"/>
      <c r="B590" s="22"/>
      <c r="C590" s="243"/>
      <c r="D590" s="243"/>
      <c r="E590" s="314"/>
      <c r="F590" s="244"/>
      <c r="G590" s="244"/>
      <c r="H590" s="368"/>
      <c r="I590" s="368"/>
      <c r="J590" s="368"/>
      <c r="K590" s="368"/>
      <c r="L590" s="244"/>
      <c r="M590" s="244"/>
      <c r="N590" s="244"/>
      <c r="O590" s="244"/>
    </row>
    <row r="591" spans="1:16" ht="45.75" x14ac:dyDescent="0.25">
      <c r="A591" s="497"/>
      <c r="B591" s="22"/>
      <c r="C591" s="100" t="s">
        <v>234</v>
      </c>
      <c r="D591" s="100">
        <v>614241</v>
      </c>
      <c r="E591" s="245" t="s">
        <v>172</v>
      </c>
      <c r="F591" s="110"/>
      <c r="G591" s="110">
        <v>5000</v>
      </c>
      <c r="H591" s="62">
        <v>5000</v>
      </c>
      <c r="I591" s="62"/>
      <c r="J591" s="62"/>
      <c r="K591" s="62"/>
      <c r="L591" s="62">
        <f t="shared" ref="L591:L597" si="127">H591+I591+J591+K591</f>
        <v>5000</v>
      </c>
      <c r="M591" s="110">
        <v>5000</v>
      </c>
      <c r="N591" s="110">
        <v>5000</v>
      </c>
      <c r="O591" s="730"/>
    </row>
    <row r="592" spans="1:16" ht="30.75" x14ac:dyDescent="0.25">
      <c r="A592" s="497"/>
      <c r="B592" s="483"/>
      <c r="C592" s="248" t="s">
        <v>234</v>
      </c>
      <c r="D592" s="248">
        <v>614300</v>
      </c>
      <c r="E592" s="503" t="s">
        <v>433</v>
      </c>
      <c r="F592" s="250">
        <v>34500</v>
      </c>
      <c r="G592" s="250">
        <f>5000+5000</f>
        <v>10000</v>
      </c>
      <c r="H592" s="264"/>
      <c r="I592" s="264"/>
      <c r="J592" s="264">
        <f>5000+5000</f>
        <v>10000</v>
      </c>
      <c r="K592" s="264"/>
      <c r="L592" s="250">
        <f t="shared" si="127"/>
        <v>10000</v>
      </c>
      <c r="M592" s="250">
        <f>5000+5000</f>
        <v>10000</v>
      </c>
      <c r="N592" s="250">
        <f>5000+5000</f>
        <v>10000</v>
      </c>
      <c r="O592" s="772"/>
    </row>
    <row r="593" spans="1:15" x14ac:dyDescent="0.25">
      <c r="A593" s="497"/>
      <c r="B593" s="483"/>
      <c r="C593" s="248" t="s">
        <v>234</v>
      </c>
      <c r="D593" s="248">
        <v>614300</v>
      </c>
      <c r="E593" s="503" t="s">
        <v>495</v>
      </c>
      <c r="F593" s="250"/>
      <c r="G593" s="250">
        <v>14041</v>
      </c>
      <c r="H593" s="264"/>
      <c r="I593" s="264"/>
      <c r="J593" s="264">
        <v>14041</v>
      </c>
      <c r="K593" s="264"/>
      <c r="L593" s="250">
        <f t="shared" si="127"/>
        <v>14041</v>
      </c>
      <c r="M593" s="250">
        <f>20000-5000</f>
        <v>15000</v>
      </c>
      <c r="N593" s="250">
        <f>20000-5000</f>
        <v>15000</v>
      </c>
      <c r="O593" s="772"/>
    </row>
    <row r="594" spans="1:15" ht="32.25" customHeight="1" x14ac:dyDescent="0.25">
      <c r="A594" s="497"/>
      <c r="B594" s="483"/>
      <c r="C594" s="484" t="s">
        <v>234</v>
      </c>
      <c r="D594" s="484">
        <v>614329</v>
      </c>
      <c r="E594" s="572" t="s">
        <v>432</v>
      </c>
      <c r="F594" s="250"/>
      <c r="G594" s="250">
        <v>100000</v>
      </c>
      <c r="H594" s="264"/>
      <c r="I594" s="264"/>
      <c r="J594" s="264">
        <v>120229</v>
      </c>
      <c r="K594" s="264"/>
      <c r="L594" s="250">
        <f t="shared" si="127"/>
        <v>120229</v>
      </c>
      <c r="M594" s="250">
        <f>100000+50000</f>
        <v>150000</v>
      </c>
      <c r="N594" s="250">
        <v>150000</v>
      </c>
      <c r="O594" s="772"/>
    </row>
    <row r="595" spans="1:15" ht="45" x14ac:dyDescent="0.25">
      <c r="A595" s="497"/>
      <c r="B595" s="483"/>
      <c r="C595" s="484" t="s">
        <v>234</v>
      </c>
      <c r="D595" s="484">
        <v>614329</v>
      </c>
      <c r="E595" s="572" t="s">
        <v>492</v>
      </c>
      <c r="F595" s="250">
        <v>1459</v>
      </c>
      <c r="G595" s="250">
        <v>10000</v>
      </c>
      <c r="H595" s="264"/>
      <c r="I595" s="264"/>
      <c r="J595" s="264">
        <v>10000</v>
      </c>
      <c r="K595" s="264"/>
      <c r="L595" s="250">
        <f t="shared" si="127"/>
        <v>10000</v>
      </c>
      <c r="M595" s="250">
        <v>10000</v>
      </c>
      <c r="N595" s="250">
        <v>10000</v>
      </c>
      <c r="O595" s="772"/>
    </row>
    <row r="596" spans="1:15" ht="30.75" x14ac:dyDescent="0.25">
      <c r="A596" s="266"/>
      <c r="B596" s="22"/>
      <c r="C596" s="335" t="s">
        <v>234</v>
      </c>
      <c r="D596" s="335">
        <v>614811</v>
      </c>
      <c r="E596" s="245" t="s">
        <v>339</v>
      </c>
      <c r="F596" s="62"/>
      <c r="G596" s="62">
        <v>1000</v>
      </c>
      <c r="H596" s="47"/>
      <c r="I596" s="47"/>
      <c r="J596" s="47"/>
      <c r="K596" s="47"/>
      <c r="L596" s="62">
        <f t="shared" si="127"/>
        <v>0</v>
      </c>
      <c r="M596" s="62"/>
      <c r="N596" s="62"/>
      <c r="O596" s="772"/>
    </row>
    <row r="597" spans="1:15" x14ac:dyDescent="0.25">
      <c r="A597" s="266"/>
      <c r="B597" s="22"/>
      <c r="C597" s="286"/>
      <c r="D597" s="286">
        <v>614000</v>
      </c>
      <c r="E597" s="443" t="s">
        <v>6</v>
      </c>
      <c r="F597" s="485">
        <f>SUM(F591:F596)</f>
        <v>35959</v>
      </c>
      <c r="G597" s="485">
        <f>SUM(G591:G596)</f>
        <v>140041</v>
      </c>
      <c r="H597" s="485">
        <f>H591+H592+H593+H594+H595+H596</f>
        <v>5000</v>
      </c>
      <c r="I597" s="485">
        <f>I591+I592+I594+I595+I596</f>
        <v>0</v>
      </c>
      <c r="J597" s="485">
        <f>J591+J592+J593+J594+J595+J596</f>
        <v>154270</v>
      </c>
      <c r="K597" s="485">
        <f>K591+K592+K594+K595+K596</f>
        <v>0</v>
      </c>
      <c r="L597" s="485">
        <f t="shared" si="127"/>
        <v>159270</v>
      </c>
      <c r="M597" s="485">
        <f>SUM(M591:M595)</f>
        <v>190000</v>
      </c>
      <c r="N597" s="485">
        <f>SUM(N591:N595)</f>
        <v>190000</v>
      </c>
      <c r="O597" s="485"/>
    </row>
    <row r="598" spans="1:15" x14ac:dyDescent="0.25">
      <c r="A598" s="266"/>
      <c r="B598" s="22"/>
      <c r="C598" s="243"/>
      <c r="D598" s="243"/>
      <c r="E598" s="314"/>
      <c r="F598" s="244"/>
      <c r="G598" s="244"/>
      <c r="H598" s="244"/>
      <c r="I598" s="244"/>
      <c r="J598" s="244"/>
      <c r="K598" s="244"/>
      <c r="L598" s="244"/>
      <c r="M598" s="244"/>
      <c r="N598" s="244"/>
      <c r="O598" s="244"/>
    </row>
    <row r="599" spans="1:15" ht="32.25" customHeight="1" x14ac:dyDescent="0.25">
      <c r="A599" s="538"/>
      <c r="B599" s="539"/>
      <c r="C599" s="540" t="s">
        <v>234</v>
      </c>
      <c r="D599" s="543">
        <v>615211</v>
      </c>
      <c r="E599" s="544" t="s">
        <v>253</v>
      </c>
      <c r="F599" s="334"/>
      <c r="G599" s="334">
        <v>35700</v>
      </c>
      <c r="H599" s="317"/>
      <c r="I599" s="317"/>
      <c r="J599" s="317"/>
      <c r="K599" s="317">
        <f>35700-35700</f>
        <v>0</v>
      </c>
      <c r="L599" s="317">
        <f>H599+I599+J599+K599</f>
        <v>0</v>
      </c>
      <c r="M599" s="334"/>
      <c r="N599" s="334"/>
      <c r="O599" s="775"/>
    </row>
    <row r="600" spans="1:15" ht="57" customHeight="1" x14ac:dyDescent="0.25">
      <c r="A600" s="538"/>
      <c r="B600" s="539"/>
      <c r="C600" s="540"/>
      <c r="D600" s="543"/>
      <c r="E600" s="544" t="s">
        <v>410</v>
      </c>
      <c r="F600" s="334"/>
      <c r="G600" s="334"/>
      <c r="H600" s="333"/>
      <c r="I600" s="333"/>
      <c r="J600" s="333"/>
      <c r="K600" s="333"/>
      <c r="L600" s="317">
        <f>H600+I600+J600+K600</f>
        <v>0</v>
      </c>
      <c r="M600" s="334"/>
      <c r="N600" s="334"/>
      <c r="O600" s="775"/>
    </row>
    <row r="601" spans="1:15" ht="120.75" x14ac:dyDescent="0.25">
      <c r="A601" s="538"/>
      <c r="B601" s="539"/>
      <c r="C601" s="543" t="s">
        <v>238</v>
      </c>
      <c r="D601" s="543">
        <v>615311</v>
      </c>
      <c r="E601" s="544" t="s">
        <v>252</v>
      </c>
      <c r="F601" s="317"/>
      <c r="G601" s="317">
        <v>8179</v>
      </c>
      <c r="H601" s="317"/>
      <c r="I601" s="317"/>
      <c r="J601" s="317">
        <f>8179-8179</f>
        <v>0</v>
      </c>
      <c r="K601" s="317"/>
      <c r="L601" s="317">
        <f>H601+I601+J601+K601</f>
        <v>0</v>
      </c>
      <c r="M601" s="317"/>
      <c r="N601" s="317"/>
      <c r="O601" s="776"/>
    </row>
    <row r="602" spans="1:15" x14ac:dyDescent="0.25">
      <c r="A602" s="497"/>
      <c r="B602" s="483"/>
      <c r="C602" s="504"/>
      <c r="D602" s="504">
        <v>615000</v>
      </c>
      <c r="E602" s="508" t="s">
        <v>254</v>
      </c>
      <c r="F602" s="507">
        <f>F599+F601</f>
        <v>0</v>
      </c>
      <c r="G602" s="507">
        <f>G599+G601</f>
        <v>43879</v>
      </c>
      <c r="H602" s="507">
        <f t="shared" ref="H602:L602" si="128">H599+H601</f>
        <v>0</v>
      </c>
      <c r="I602" s="507">
        <f t="shared" si="128"/>
        <v>0</v>
      </c>
      <c r="J602" s="507">
        <f t="shared" si="128"/>
        <v>0</v>
      </c>
      <c r="K602" s="507">
        <f t="shared" si="128"/>
        <v>0</v>
      </c>
      <c r="L602" s="507">
        <f t="shared" si="128"/>
        <v>0</v>
      </c>
      <c r="M602" s="507">
        <f>M601</f>
        <v>0</v>
      </c>
      <c r="N602" s="507">
        <f>N601</f>
        <v>0</v>
      </c>
      <c r="O602" s="507"/>
    </row>
    <row r="603" spans="1:15" x14ac:dyDescent="0.25">
      <c r="A603" s="266"/>
      <c r="B603" s="22"/>
      <c r="C603" s="243"/>
      <c r="D603" s="243"/>
      <c r="E603" s="314"/>
      <c r="F603" s="244"/>
      <c r="G603" s="244"/>
      <c r="H603" s="244"/>
      <c r="I603" s="244"/>
      <c r="J603" s="244"/>
      <c r="K603" s="244"/>
      <c r="L603" s="244"/>
      <c r="M603" s="244"/>
      <c r="N603" s="244"/>
      <c r="O603" s="244"/>
    </row>
    <row r="604" spans="1:15" x14ac:dyDescent="0.25">
      <c r="A604" s="266"/>
      <c r="B604" s="22"/>
      <c r="C604" s="248" t="s">
        <v>234</v>
      </c>
      <c r="D604" s="248">
        <v>821222</v>
      </c>
      <c r="E604" s="249" t="s">
        <v>446</v>
      </c>
      <c r="F604" s="250"/>
      <c r="G604" s="250">
        <v>80000</v>
      </c>
      <c r="H604" s="250"/>
      <c r="I604" s="250"/>
      <c r="J604" s="250">
        <v>80000</v>
      </c>
      <c r="K604" s="250"/>
      <c r="L604" s="250">
        <f t="shared" ref="L604:L622" si="129">H604+I604+J604+K604</f>
        <v>80000</v>
      </c>
      <c r="M604" s="250">
        <v>30000</v>
      </c>
      <c r="N604" s="250">
        <v>30000</v>
      </c>
      <c r="O604" s="772"/>
    </row>
    <row r="605" spans="1:15" ht="45" x14ac:dyDescent="0.25">
      <c r="A605" s="497"/>
      <c r="B605" s="483"/>
      <c r="C605" s="248" t="s">
        <v>234</v>
      </c>
      <c r="D605" s="248">
        <v>821341</v>
      </c>
      <c r="E605" s="572" t="s">
        <v>434</v>
      </c>
      <c r="F605" s="250"/>
      <c r="G605" s="250">
        <v>104749</v>
      </c>
      <c r="H605" s="250"/>
      <c r="I605" s="250"/>
      <c r="J605" s="250">
        <v>200699</v>
      </c>
      <c r="K605" s="250"/>
      <c r="L605" s="250">
        <f t="shared" si="129"/>
        <v>200699</v>
      </c>
      <c r="M605" s="250">
        <f>20000-20000</f>
        <v>0</v>
      </c>
      <c r="N605" s="250">
        <f>20000-20000</f>
        <v>0</v>
      </c>
      <c r="O605" s="772"/>
    </row>
    <row r="606" spans="1:15" ht="75" x14ac:dyDescent="0.25">
      <c r="A606" s="497"/>
      <c r="B606" s="483"/>
      <c r="C606" s="484" t="s">
        <v>234</v>
      </c>
      <c r="D606" s="484">
        <v>821614</v>
      </c>
      <c r="E606" s="572" t="s">
        <v>435</v>
      </c>
      <c r="F606" s="250"/>
      <c r="G606" s="250">
        <v>65000</v>
      </c>
      <c r="H606" s="264"/>
      <c r="I606" s="264"/>
      <c r="J606" s="264">
        <f>2000-2000</f>
        <v>0</v>
      </c>
      <c r="K606" s="264"/>
      <c r="L606" s="250">
        <f t="shared" si="129"/>
        <v>0</v>
      </c>
      <c r="M606" s="250">
        <f>5000-5000</f>
        <v>0</v>
      </c>
      <c r="N606" s="250">
        <f>5000-5000</f>
        <v>0</v>
      </c>
      <c r="O606" s="772"/>
    </row>
    <row r="607" spans="1:15" ht="30.75" x14ac:dyDescent="0.25">
      <c r="A607" s="497"/>
      <c r="B607" s="483"/>
      <c r="C607" s="248" t="s">
        <v>234</v>
      </c>
      <c r="D607" s="248">
        <v>821614</v>
      </c>
      <c r="E607" s="249" t="s">
        <v>160</v>
      </c>
      <c r="F607" s="250">
        <v>7850</v>
      </c>
      <c r="G607" s="250">
        <v>54310</v>
      </c>
      <c r="H607" s="264"/>
      <c r="I607" s="264"/>
      <c r="J607" s="264">
        <f>54310-54310</f>
        <v>0</v>
      </c>
      <c r="K607" s="264">
        <f>K608</f>
        <v>0</v>
      </c>
      <c r="L607" s="250">
        <f t="shared" si="129"/>
        <v>0</v>
      </c>
      <c r="M607" s="250"/>
      <c r="N607" s="250"/>
      <c r="O607" s="772"/>
    </row>
    <row r="608" spans="1:15" ht="45.75" x14ac:dyDescent="0.25">
      <c r="A608" s="497"/>
      <c r="B608" s="483"/>
      <c r="C608" s="248"/>
      <c r="D608" s="248"/>
      <c r="E608" s="249" t="s">
        <v>300</v>
      </c>
      <c r="F608" s="250">
        <v>7850</v>
      </c>
      <c r="G608" s="250"/>
      <c r="H608" s="264"/>
      <c r="I608" s="264"/>
      <c r="J608" s="264"/>
      <c r="K608" s="264"/>
      <c r="L608" s="250">
        <f t="shared" si="129"/>
        <v>0</v>
      </c>
      <c r="M608" s="250"/>
      <c r="N608" s="250"/>
      <c r="O608" s="772"/>
    </row>
    <row r="609" spans="1:15" ht="45" x14ac:dyDescent="0.25">
      <c r="A609" s="497"/>
      <c r="B609" s="483"/>
      <c r="C609" s="248" t="s">
        <v>234</v>
      </c>
      <c r="D609" s="248">
        <v>821300</v>
      </c>
      <c r="E609" s="572" t="s">
        <v>436</v>
      </c>
      <c r="F609" s="250">
        <f>F610+F611+F612+F613+F614+F615+F616+F617</f>
        <v>8561</v>
      </c>
      <c r="G609" s="250">
        <v>428345</v>
      </c>
      <c r="H609" s="264"/>
      <c r="I609" s="264"/>
      <c r="J609" s="264">
        <f>J610+J611+J612+J613+J614+J615+J616+J617</f>
        <v>439917</v>
      </c>
      <c r="K609" s="264"/>
      <c r="L609" s="250">
        <f t="shared" si="129"/>
        <v>439917</v>
      </c>
      <c r="M609" s="250">
        <v>400000</v>
      </c>
      <c r="N609" s="250">
        <v>400000</v>
      </c>
      <c r="O609" s="772"/>
    </row>
    <row r="610" spans="1:15" ht="30" x14ac:dyDescent="0.25">
      <c r="A610" s="497"/>
      <c r="B610" s="483"/>
      <c r="C610" s="248"/>
      <c r="D610" s="248"/>
      <c r="E610" s="572" t="s">
        <v>437</v>
      </c>
      <c r="F610" s="250"/>
      <c r="G610" s="250">
        <v>69000</v>
      </c>
      <c r="H610" s="264"/>
      <c r="I610" s="264"/>
      <c r="J610" s="264">
        <v>69000</v>
      </c>
      <c r="K610" s="264"/>
      <c r="L610" s="250">
        <f t="shared" si="129"/>
        <v>69000</v>
      </c>
      <c r="M610" s="250">
        <v>50000</v>
      </c>
      <c r="N610" s="250">
        <v>50000</v>
      </c>
      <c r="O610" s="772"/>
    </row>
    <row r="611" spans="1:15" ht="75" x14ac:dyDescent="0.25">
      <c r="A611" s="497"/>
      <c r="B611" s="483"/>
      <c r="C611" s="248"/>
      <c r="D611" s="248"/>
      <c r="E611" s="572" t="s">
        <v>614</v>
      </c>
      <c r="F611" s="250"/>
      <c r="G611" s="250">
        <v>115000</v>
      </c>
      <c r="H611" s="264"/>
      <c r="I611" s="264"/>
      <c r="J611" s="264">
        <v>90000</v>
      </c>
      <c r="K611" s="264"/>
      <c r="L611" s="250">
        <f t="shared" si="129"/>
        <v>90000</v>
      </c>
      <c r="M611" s="250"/>
      <c r="N611" s="250"/>
      <c r="O611" s="772"/>
    </row>
    <row r="612" spans="1:15" ht="45" x14ac:dyDescent="0.25">
      <c r="A612" s="497"/>
      <c r="B612" s="483"/>
      <c r="C612" s="248"/>
      <c r="D612" s="248"/>
      <c r="E612" s="572" t="s">
        <v>438</v>
      </c>
      <c r="F612" s="250"/>
      <c r="G612" s="250">
        <v>69000</v>
      </c>
      <c r="H612" s="264"/>
      <c r="I612" s="264"/>
      <c r="J612" s="264">
        <v>39000</v>
      </c>
      <c r="K612" s="264"/>
      <c r="L612" s="250">
        <f t="shared" si="129"/>
        <v>39000</v>
      </c>
      <c r="M612" s="250">
        <v>30000</v>
      </c>
      <c r="N612" s="250">
        <v>30000</v>
      </c>
      <c r="O612" s="772"/>
    </row>
    <row r="613" spans="1:15" ht="30" x14ac:dyDescent="0.25">
      <c r="A613" s="497"/>
      <c r="B613" s="483"/>
      <c r="C613" s="248"/>
      <c r="D613" s="248"/>
      <c r="E613" s="572" t="s">
        <v>439</v>
      </c>
      <c r="F613" s="250"/>
      <c r="G613" s="250">
        <v>120603</v>
      </c>
      <c r="H613" s="264"/>
      <c r="I613" s="264"/>
      <c r="J613" s="264">
        <v>210917</v>
      </c>
      <c r="K613" s="264"/>
      <c r="L613" s="250">
        <f t="shared" si="129"/>
        <v>210917</v>
      </c>
      <c r="M613" s="250">
        <v>100000</v>
      </c>
      <c r="N613" s="250">
        <v>100000</v>
      </c>
      <c r="O613" s="772"/>
    </row>
    <row r="614" spans="1:15" ht="30" x14ac:dyDescent="0.25">
      <c r="A614" s="497"/>
      <c r="B614" s="483"/>
      <c r="C614" s="248"/>
      <c r="D614" s="248"/>
      <c r="E614" s="572" t="s">
        <v>440</v>
      </c>
      <c r="F614" s="250">
        <v>3159</v>
      </c>
      <c r="G614" s="250"/>
      <c r="H614" s="264"/>
      <c r="I614" s="264"/>
      <c r="J614" s="264">
        <v>1000</v>
      </c>
      <c r="K614" s="264"/>
      <c r="L614" s="250">
        <f t="shared" si="129"/>
        <v>1000</v>
      </c>
      <c r="M614" s="250">
        <v>1000</v>
      </c>
      <c r="N614" s="250"/>
      <c r="O614" s="772"/>
    </row>
    <row r="615" spans="1:15" ht="30" x14ac:dyDescent="0.25">
      <c r="A615" s="497"/>
      <c r="B615" s="483"/>
      <c r="C615" s="248"/>
      <c r="D615" s="248"/>
      <c r="E615" s="572" t="s">
        <v>450</v>
      </c>
      <c r="F615" s="250"/>
      <c r="G615" s="250"/>
      <c r="H615" s="264"/>
      <c r="I615" s="264"/>
      <c r="J615" s="264">
        <f>1000-1000</f>
        <v>0</v>
      </c>
      <c r="K615" s="264"/>
      <c r="L615" s="250">
        <f t="shared" si="129"/>
        <v>0</v>
      </c>
      <c r="M615" s="250"/>
      <c r="N615" s="250"/>
      <c r="O615" s="772"/>
    </row>
    <row r="616" spans="1:15" ht="60" x14ac:dyDescent="0.25">
      <c r="A616" s="497"/>
      <c r="B616" s="483"/>
      <c r="C616" s="248"/>
      <c r="D616" s="248"/>
      <c r="E616" s="572" t="s">
        <v>442</v>
      </c>
      <c r="F616" s="250"/>
      <c r="G616" s="250">
        <v>10000</v>
      </c>
      <c r="H616" s="264"/>
      <c r="I616" s="264"/>
      <c r="J616" s="264">
        <f>10000-10000</f>
        <v>0</v>
      </c>
      <c r="K616" s="264"/>
      <c r="L616" s="250">
        <f t="shared" si="129"/>
        <v>0</v>
      </c>
      <c r="M616" s="250"/>
      <c r="N616" s="250"/>
      <c r="O616" s="772"/>
    </row>
    <row r="617" spans="1:15" ht="105" x14ac:dyDescent="0.25">
      <c r="A617" s="497"/>
      <c r="B617" s="483"/>
      <c r="C617" s="248"/>
      <c r="D617" s="248">
        <v>821300</v>
      </c>
      <c r="E617" s="572" t="s">
        <v>451</v>
      </c>
      <c r="F617" s="250">
        <v>5402</v>
      </c>
      <c r="G617" s="250">
        <v>44742</v>
      </c>
      <c r="H617" s="264"/>
      <c r="I617" s="264"/>
      <c r="J617" s="264">
        <v>30000</v>
      </c>
      <c r="K617" s="264"/>
      <c r="L617" s="250">
        <f t="shared" si="129"/>
        <v>30000</v>
      </c>
      <c r="M617" s="250">
        <v>30000</v>
      </c>
      <c r="N617" s="250">
        <v>30000</v>
      </c>
      <c r="O617" s="772"/>
    </row>
    <row r="618" spans="1:15" ht="30.75" x14ac:dyDescent="0.25">
      <c r="A618" s="497"/>
      <c r="B618" s="483"/>
      <c r="C618" s="248" t="s">
        <v>234</v>
      </c>
      <c r="D618" s="248">
        <v>821300</v>
      </c>
      <c r="E618" s="249" t="s">
        <v>176</v>
      </c>
      <c r="F618" s="250">
        <v>4310</v>
      </c>
      <c r="G618" s="250">
        <v>5000</v>
      </c>
      <c r="H618" s="264"/>
      <c r="I618" s="264"/>
      <c r="J618" s="264">
        <v>6100</v>
      </c>
      <c r="K618" s="264"/>
      <c r="L618" s="250">
        <f t="shared" si="129"/>
        <v>6100</v>
      </c>
      <c r="M618" s="250">
        <v>6000</v>
      </c>
      <c r="N618" s="250">
        <v>6000</v>
      </c>
      <c r="O618" s="772"/>
    </row>
    <row r="619" spans="1:15" ht="45.75" x14ac:dyDescent="0.25">
      <c r="A619" s="497"/>
      <c r="B619" s="483"/>
      <c r="C619" s="248"/>
      <c r="D619" s="248"/>
      <c r="E619" s="249" t="s">
        <v>491</v>
      </c>
      <c r="F619" s="250">
        <v>4310</v>
      </c>
      <c r="G619" s="250">
        <v>4310</v>
      </c>
      <c r="H619" s="264"/>
      <c r="I619" s="264"/>
      <c r="J619" s="264">
        <f>4310-4310</f>
        <v>0</v>
      </c>
      <c r="K619" s="264"/>
      <c r="L619" s="250">
        <f t="shared" si="129"/>
        <v>0</v>
      </c>
      <c r="M619" s="250"/>
      <c r="N619" s="250"/>
      <c r="O619" s="772"/>
    </row>
    <row r="620" spans="1:15" x14ac:dyDescent="0.25">
      <c r="A620" s="497"/>
      <c r="B620" s="483"/>
      <c r="C620" s="248" t="s">
        <v>234</v>
      </c>
      <c r="D620" s="248">
        <v>821619</v>
      </c>
      <c r="E620" s="499" t="s">
        <v>144</v>
      </c>
      <c r="F620" s="250"/>
      <c r="G620" s="250">
        <v>368176</v>
      </c>
      <c r="H620" s="264"/>
      <c r="I620" s="264"/>
      <c r="J620" s="264">
        <v>748927</v>
      </c>
      <c r="K620" s="264"/>
      <c r="L620" s="250">
        <f t="shared" si="129"/>
        <v>748927</v>
      </c>
      <c r="M620" s="250">
        <f>112500-62500+50000</f>
        <v>100000</v>
      </c>
      <c r="N620" s="250">
        <f>112500-62500+50000</f>
        <v>100000</v>
      </c>
      <c r="O620" s="772"/>
    </row>
    <row r="621" spans="1:15" x14ac:dyDescent="0.25">
      <c r="A621" s="266"/>
      <c r="B621" s="22"/>
      <c r="C621" s="555" t="s">
        <v>234</v>
      </c>
      <c r="D621" s="555">
        <v>821300</v>
      </c>
      <c r="E621" s="679" t="s">
        <v>1089</v>
      </c>
      <c r="F621" s="39"/>
      <c r="G621" s="39">
        <v>3000</v>
      </c>
      <c r="H621" s="553">
        <f>5000-2000</f>
        <v>3000</v>
      </c>
      <c r="I621" s="553"/>
      <c r="J621" s="553"/>
      <c r="K621" s="553"/>
      <c r="L621" s="553">
        <f t="shared" si="129"/>
        <v>3000</v>
      </c>
      <c r="M621" s="39"/>
      <c r="N621" s="39"/>
      <c r="O621" s="772"/>
    </row>
    <row r="622" spans="1:15" x14ac:dyDescent="0.25">
      <c r="A622" s="266"/>
      <c r="B622" s="22"/>
      <c r="C622" s="286"/>
      <c r="D622" s="286">
        <v>821000</v>
      </c>
      <c r="E622" s="443" t="s">
        <v>113</v>
      </c>
      <c r="F622" s="329">
        <f>F604+F605+F606+F609+F607+F618+F620+F621</f>
        <v>20721</v>
      </c>
      <c r="G622" s="329">
        <f>G604+G605+G606+G609+G607+G618+G620+G621</f>
        <v>1108580</v>
      </c>
      <c r="H622" s="329">
        <f>H604+H605+H606+H609+H607+H618+H620+H621</f>
        <v>3000</v>
      </c>
      <c r="I622" s="329">
        <f>I604+I605+I606+I609+I607+I618+I620</f>
        <v>0</v>
      </c>
      <c r="J622" s="329">
        <f>J604+J605+J606+J609+J607+J618+J620</f>
        <v>1475643</v>
      </c>
      <c r="K622" s="329">
        <f>K604+K605+K606+K609+K607+K618+K620</f>
        <v>0</v>
      </c>
      <c r="L622" s="329">
        <f t="shared" si="129"/>
        <v>1478643</v>
      </c>
      <c r="M622" s="329">
        <f>M604+M605+M606+M609+M607+M618+M620</f>
        <v>536000</v>
      </c>
      <c r="N622" s="329">
        <f>N604+N605+N606+N609+N607+N618+N620</f>
        <v>536000</v>
      </c>
      <c r="O622" s="329"/>
    </row>
    <row r="623" spans="1:15" ht="12.75" customHeight="1" x14ac:dyDescent="0.25">
      <c r="A623" s="266"/>
      <c r="B623" s="22"/>
      <c r="C623" s="80"/>
      <c r="D623" s="243"/>
      <c r="E623" s="314"/>
      <c r="F623" s="265"/>
      <c r="G623" s="265"/>
      <c r="H623" s="368"/>
      <c r="I623" s="368"/>
      <c r="J623" s="368"/>
      <c r="K623" s="368"/>
      <c r="L623" s="265"/>
      <c r="M623" s="265"/>
      <c r="N623" s="265"/>
      <c r="O623" s="265"/>
    </row>
    <row r="624" spans="1:15" x14ac:dyDescent="0.25">
      <c r="A624" s="477"/>
      <c r="B624" s="478"/>
      <c r="C624" s="479"/>
      <c r="D624" s="479"/>
      <c r="E624" s="480" t="s">
        <v>656</v>
      </c>
      <c r="F624" s="481">
        <f t="shared" ref="F624:N624" si="130">F540+F542+F589+F597+F602+F622</f>
        <v>1030137</v>
      </c>
      <c r="G624" s="481">
        <f t="shared" si="130"/>
        <v>2743834</v>
      </c>
      <c r="H624" s="481">
        <f t="shared" si="130"/>
        <v>848349.4</v>
      </c>
      <c r="I624" s="481">
        <f t="shared" si="130"/>
        <v>0</v>
      </c>
      <c r="J624" s="481">
        <f t="shared" si="130"/>
        <v>2133958</v>
      </c>
      <c r="K624" s="481">
        <f t="shared" si="130"/>
        <v>-0.31999999999970896</v>
      </c>
      <c r="L624" s="481">
        <f t="shared" si="130"/>
        <v>2982307.08</v>
      </c>
      <c r="M624" s="481">
        <f t="shared" si="130"/>
        <v>2098002</v>
      </c>
      <c r="N624" s="481">
        <f t="shared" si="130"/>
        <v>2104002</v>
      </c>
      <c r="O624" s="485"/>
    </row>
    <row r="625" spans="1:16" ht="13.5" customHeight="1" x14ac:dyDescent="0.25">
      <c r="O625" s="64"/>
    </row>
    <row r="626" spans="1:16" x14ac:dyDescent="0.25">
      <c r="A626" s="19"/>
      <c r="B626" s="293">
        <v>1110</v>
      </c>
      <c r="C626" s="30"/>
      <c r="D626" s="29"/>
      <c r="E626" s="92" t="s">
        <v>631</v>
      </c>
      <c r="F626" s="33"/>
      <c r="G626" s="33"/>
      <c r="H626" s="120"/>
      <c r="I626" s="120"/>
      <c r="J626" s="368"/>
      <c r="K626" s="120"/>
      <c r="L626" s="33"/>
      <c r="M626" s="33"/>
      <c r="N626" s="33"/>
      <c r="O626" s="770"/>
    </row>
    <row r="627" spans="1:16" ht="10.5" customHeight="1" x14ac:dyDescent="0.25">
      <c r="A627" s="16"/>
      <c r="B627" s="297"/>
      <c r="C627" s="30"/>
      <c r="D627" s="29"/>
      <c r="E627" s="15"/>
      <c r="F627" s="73"/>
      <c r="G627" s="73"/>
      <c r="H627" s="120"/>
      <c r="I627" s="120"/>
      <c r="J627" s="368"/>
      <c r="K627" s="120"/>
      <c r="L627" s="73"/>
      <c r="M627" s="73"/>
      <c r="N627" s="73"/>
      <c r="O627" s="70"/>
    </row>
    <row r="628" spans="1:16" ht="30.75" x14ac:dyDescent="0.25">
      <c r="A628" s="20"/>
      <c r="B628" s="266"/>
      <c r="C628" s="37" t="s">
        <v>235</v>
      </c>
      <c r="D628" s="37">
        <v>611100</v>
      </c>
      <c r="E628" s="44" t="s">
        <v>1223</v>
      </c>
      <c r="F628" s="39">
        <v>134518</v>
      </c>
      <c r="G628" s="39">
        <v>136768</v>
      </c>
      <c r="H628" s="39">
        <f>(23500*12)+(32219)/2</f>
        <v>298109.5</v>
      </c>
      <c r="I628" s="39"/>
      <c r="J628" s="62"/>
      <c r="K628" s="39"/>
      <c r="L628" s="62">
        <f>H628+I628+J628+K628</f>
        <v>298109.5</v>
      </c>
      <c r="M628" s="39">
        <v>300000</v>
      </c>
      <c r="N628" s="39">
        <v>300000</v>
      </c>
      <c r="O628" s="756">
        <f>+(1675+1675)*12</f>
        <v>40200</v>
      </c>
      <c r="P628" s="1011" t="s">
        <v>1219</v>
      </c>
    </row>
    <row r="629" spans="1:16" x14ac:dyDescent="0.25">
      <c r="A629" s="17"/>
      <c r="B629" s="291"/>
      <c r="C629" s="37" t="s">
        <v>235</v>
      </c>
      <c r="D629" s="37">
        <v>611200</v>
      </c>
      <c r="E629" s="38" t="s">
        <v>12</v>
      </c>
      <c r="F629" s="39">
        <v>21471</v>
      </c>
      <c r="G629" s="39">
        <f>31703</f>
        <v>31703</v>
      </c>
      <c r="H629" s="48">
        <f>(14*22*9.3)*11+(14*450)+(550*11)+9000+15000+20000</f>
        <v>87858.4</v>
      </c>
      <c r="I629" s="45"/>
      <c r="J629" s="47"/>
      <c r="K629" s="45"/>
      <c r="L629" s="62">
        <f>H629+I629+J629+K629</f>
        <v>87858.4</v>
      </c>
      <c r="M629" s="39">
        <v>81500</v>
      </c>
      <c r="N629" s="39">
        <v>81500</v>
      </c>
      <c r="O629" s="40"/>
      <c r="P629" s="755">
        <f>1700*2*12</f>
        <v>40800</v>
      </c>
    </row>
    <row r="630" spans="1:16" ht="60.75" x14ac:dyDescent="0.25">
      <c r="A630" s="17"/>
      <c r="B630" s="291"/>
      <c r="C630" s="37"/>
      <c r="D630" s="37">
        <v>611200</v>
      </c>
      <c r="E630" s="279" t="s">
        <v>175</v>
      </c>
      <c r="F630" s="45"/>
      <c r="G630" s="45"/>
      <c r="H630" s="47">
        <v>15000</v>
      </c>
      <c r="I630" s="45"/>
      <c r="J630" s="47"/>
      <c r="K630" s="45"/>
      <c r="L630" s="62">
        <f>H630+I630+J630+K630</f>
        <v>15000</v>
      </c>
      <c r="M630" s="45">
        <v>15000</v>
      </c>
      <c r="N630" s="45">
        <v>15000</v>
      </c>
      <c r="O630" s="40"/>
    </row>
    <row r="631" spans="1:16" ht="31.5" customHeight="1" x14ac:dyDescent="0.25">
      <c r="A631" s="17"/>
      <c r="B631" s="291"/>
      <c r="C631" s="37"/>
      <c r="D631" s="37">
        <v>611200</v>
      </c>
      <c r="E631" s="279" t="s">
        <v>971</v>
      </c>
      <c r="F631" s="45"/>
      <c r="G631" s="45"/>
      <c r="H631" s="47">
        <v>20000</v>
      </c>
      <c r="I631" s="45"/>
      <c r="J631" s="47"/>
      <c r="K631" s="45"/>
      <c r="L631" s="62">
        <f t="shared" ref="L631:L632" si="131">H631+I631+J631+K631</f>
        <v>20000</v>
      </c>
      <c r="M631" s="45">
        <v>20000</v>
      </c>
      <c r="N631" s="45">
        <v>20000</v>
      </c>
      <c r="O631" s="40"/>
      <c r="P631" s="857"/>
    </row>
    <row r="632" spans="1:16" x14ac:dyDescent="0.25">
      <c r="A632" s="17"/>
      <c r="B632" s="291"/>
      <c r="C632" s="37"/>
      <c r="D632" s="37"/>
      <c r="E632" s="49" t="s">
        <v>47</v>
      </c>
      <c r="F632" s="45"/>
      <c r="G632" s="45">
        <v>9000</v>
      </c>
      <c r="H632" s="45">
        <f>(900*5)*2</f>
        <v>9000</v>
      </c>
      <c r="I632" s="45"/>
      <c r="J632" s="47"/>
      <c r="K632" s="45"/>
      <c r="L632" s="62">
        <f t="shared" si="131"/>
        <v>9000</v>
      </c>
      <c r="M632" s="45">
        <v>9000</v>
      </c>
      <c r="N632" s="45">
        <v>9000</v>
      </c>
      <c r="O632" s="40"/>
    </row>
    <row r="633" spans="1:16" x14ac:dyDescent="0.25">
      <c r="A633" s="18"/>
      <c r="B633" s="291"/>
      <c r="C633" s="54" t="s">
        <v>235</v>
      </c>
      <c r="D633" s="27">
        <v>611000</v>
      </c>
      <c r="E633" s="55" t="s">
        <v>13</v>
      </c>
      <c r="F633" s="56">
        <f t="shared" ref="F633:G633" si="132">F628+F629</f>
        <v>155989</v>
      </c>
      <c r="G633" s="56">
        <f t="shared" si="132"/>
        <v>168471</v>
      </c>
      <c r="H633" s="64">
        <f>H628+H629</f>
        <v>385967.9</v>
      </c>
      <c r="I633" s="64">
        <f>I628+I629</f>
        <v>0</v>
      </c>
      <c r="J633" s="482">
        <f>J628+J629</f>
        <v>0</v>
      </c>
      <c r="K633" s="64">
        <f>K628+K629</f>
        <v>0</v>
      </c>
      <c r="L633" s="56">
        <f>L628+L629</f>
        <v>385967.9</v>
      </c>
      <c r="M633" s="56">
        <f t="shared" ref="M633:N633" si="133">M628+M629</f>
        <v>381500</v>
      </c>
      <c r="N633" s="56">
        <f t="shared" si="133"/>
        <v>381500</v>
      </c>
      <c r="O633" s="56"/>
    </row>
    <row r="634" spans="1:16" ht="13.5" customHeight="1" x14ac:dyDescent="0.25">
      <c r="A634" s="18"/>
      <c r="B634" s="291"/>
      <c r="C634" s="29"/>
      <c r="D634" s="29"/>
      <c r="E634" s="30"/>
      <c r="F634" s="70"/>
      <c r="G634" s="70"/>
      <c r="H634" s="120"/>
      <c r="I634" s="120"/>
      <c r="J634" s="368"/>
      <c r="K634" s="120"/>
      <c r="L634" s="70"/>
      <c r="M634" s="70"/>
      <c r="N634" s="70"/>
      <c r="O634" s="70"/>
    </row>
    <row r="635" spans="1:16" x14ac:dyDescent="0.25">
      <c r="A635" s="18"/>
      <c r="B635" s="291"/>
      <c r="C635" s="54" t="s">
        <v>236</v>
      </c>
      <c r="D635" s="27">
        <v>612111</v>
      </c>
      <c r="E635" s="55" t="s">
        <v>14</v>
      </c>
      <c r="F635" s="78">
        <v>14970</v>
      </c>
      <c r="G635" s="78">
        <v>14361</v>
      </c>
      <c r="H635" s="78">
        <f>2500*12+(3134)/2+33</f>
        <v>31600</v>
      </c>
      <c r="I635" s="78"/>
      <c r="J635" s="329"/>
      <c r="K635" s="78"/>
      <c r="L635" s="78">
        <f>H635+I635+J635+K635</f>
        <v>31600</v>
      </c>
      <c r="M635" s="78">
        <v>32000</v>
      </c>
      <c r="N635" s="78">
        <v>33000</v>
      </c>
      <c r="O635" s="756">
        <f>(170+170)*12</f>
        <v>4080</v>
      </c>
      <c r="P635" s="755">
        <f>298110*10.5/100</f>
        <v>31301.55</v>
      </c>
    </row>
    <row r="636" spans="1:16" ht="12.75" customHeight="1" x14ac:dyDescent="0.25">
      <c r="A636" s="18"/>
      <c r="B636" s="291"/>
      <c r="C636" s="29"/>
      <c r="D636" s="165"/>
      <c r="E636" s="166"/>
      <c r="F636" s="71"/>
      <c r="G636" s="71"/>
      <c r="H636" s="120"/>
      <c r="I636" s="120"/>
      <c r="J636" s="368"/>
      <c r="K636" s="120"/>
      <c r="L636" s="71"/>
      <c r="M636" s="71"/>
      <c r="N636" s="71"/>
      <c r="O636" s="68"/>
    </row>
    <row r="637" spans="1:16" x14ac:dyDescent="0.25">
      <c r="A637" s="18"/>
      <c r="B637" s="291"/>
      <c r="C637" s="37" t="s">
        <v>235</v>
      </c>
      <c r="D637" s="37">
        <v>613100</v>
      </c>
      <c r="E637" s="38" t="s">
        <v>93</v>
      </c>
      <c r="F637" s="62">
        <v>1410</v>
      </c>
      <c r="G637" s="62">
        <f>100</f>
        <v>100</v>
      </c>
      <c r="H637" s="39">
        <v>2000</v>
      </c>
      <c r="I637" s="39"/>
      <c r="J637" s="62"/>
      <c r="K637" s="39"/>
      <c r="L637" s="39">
        <f>H637+I637+J637+K637</f>
        <v>2000</v>
      </c>
      <c r="M637" s="62">
        <v>100</v>
      </c>
      <c r="N637" s="62">
        <v>100</v>
      </c>
      <c r="O637" s="40"/>
    </row>
    <row r="638" spans="1:16" x14ac:dyDescent="0.25">
      <c r="A638" s="18"/>
      <c r="B638" s="291"/>
      <c r="C638" s="37" t="s">
        <v>235</v>
      </c>
      <c r="D638" s="37">
        <v>613200</v>
      </c>
      <c r="E638" s="111" t="s">
        <v>118</v>
      </c>
      <c r="F638" s="62">
        <v>42553</v>
      </c>
      <c r="G638" s="62">
        <f>60000</f>
        <v>60000</v>
      </c>
      <c r="H638" s="47">
        <v>53000</v>
      </c>
      <c r="I638" s="45"/>
      <c r="J638" s="47"/>
      <c r="K638" s="45"/>
      <c r="L638" s="39">
        <f>H638+I638+J638+K638</f>
        <v>53000</v>
      </c>
      <c r="M638" s="62">
        <v>53000</v>
      </c>
      <c r="N638" s="62">
        <v>53000</v>
      </c>
      <c r="O638" s="40"/>
    </row>
    <row r="639" spans="1:16" x14ac:dyDescent="0.25">
      <c r="A639" s="18"/>
      <c r="B639" s="291"/>
      <c r="C639" s="37" t="s">
        <v>235</v>
      </c>
      <c r="D639" s="37">
        <v>613300</v>
      </c>
      <c r="E639" s="63" t="s">
        <v>119</v>
      </c>
      <c r="F639" s="93">
        <f t="shared" ref="F639:G639" si="134">F640+F641+F643+F644</f>
        <v>8742</v>
      </c>
      <c r="G639" s="93">
        <f t="shared" si="134"/>
        <v>13200</v>
      </c>
      <c r="H639" s="108">
        <f>H640+H641+H642+H643+H644</f>
        <v>18060</v>
      </c>
      <c r="I639" s="108">
        <f t="shared" ref="I639:L639" si="135">I640+I641+I642+I643+I644</f>
        <v>0</v>
      </c>
      <c r="J639" s="108">
        <f t="shared" si="135"/>
        <v>0</v>
      </c>
      <c r="K639" s="108">
        <f t="shared" si="135"/>
        <v>0</v>
      </c>
      <c r="L639" s="108">
        <f t="shared" si="135"/>
        <v>18060</v>
      </c>
      <c r="M639" s="93">
        <f>M640+M641+M642+M643+M644</f>
        <v>15500</v>
      </c>
      <c r="N639" s="895">
        <f>N640+N641+N642+N643+N644</f>
        <v>13500</v>
      </c>
      <c r="O639" s="83"/>
    </row>
    <row r="640" spans="1:16" x14ac:dyDescent="0.25">
      <c r="A640" s="18"/>
      <c r="B640" s="291"/>
      <c r="C640" s="37" t="s">
        <v>235</v>
      </c>
      <c r="D640" s="52">
        <v>613311</v>
      </c>
      <c r="E640" s="85" t="s">
        <v>199</v>
      </c>
      <c r="F640" s="39">
        <v>960</v>
      </c>
      <c r="G640" s="39">
        <v>2000</v>
      </c>
      <c r="H640" s="911">
        <f>3000-500</f>
        <v>2500</v>
      </c>
      <c r="I640" s="45"/>
      <c r="J640" s="47"/>
      <c r="K640" s="45"/>
      <c r="L640" s="62">
        <f t="shared" ref="L640:L660" si="136">H640+I640+J640+K640</f>
        <v>2500</v>
      </c>
      <c r="M640" s="39">
        <f>2000-600</f>
        <v>1400</v>
      </c>
      <c r="N640" s="39">
        <f>2000-600</f>
        <v>1400</v>
      </c>
      <c r="O640" s="40"/>
    </row>
    <row r="641" spans="1:16" x14ac:dyDescent="0.25">
      <c r="A641" s="18"/>
      <c r="B641" s="291"/>
      <c r="C641" s="37"/>
      <c r="D641" s="52">
        <v>613313</v>
      </c>
      <c r="E641" s="86" t="s">
        <v>535</v>
      </c>
      <c r="F641" s="39">
        <v>597</v>
      </c>
      <c r="G641" s="39">
        <v>600</v>
      </c>
      <c r="H641" s="911">
        <f>50*12+(30*12)</f>
        <v>960</v>
      </c>
      <c r="I641" s="45"/>
      <c r="J641" s="47"/>
      <c r="K641" s="45"/>
      <c r="L641" s="62">
        <f t="shared" si="136"/>
        <v>960</v>
      </c>
      <c r="M641" s="39">
        <v>600</v>
      </c>
      <c r="N641" s="39">
        <v>600</v>
      </c>
      <c r="O641" s="40"/>
    </row>
    <row r="642" spans="1:16" x14ac:dyDescent="0.25">
      <c r="A642" s="869"/>
      <c r="B642" s="291"/>
      <c r="C642" s="874"/>
      <c r="D642" s="882">
        <v>613312</v>
      </c>
      <c r="E642" s="892" t="s">
        <v>1026</v>
      </c>
      <c r="F642" s="876"/>
      <c r="G642" s="876"/>
      <c r="H642" s="878">
        <v>4000</v>
      </c>
      <c r="I642" s="878"/>
      <c r="J642" s="879"/>
      <c r="K642" s="878"/>
      <c r="L642" s="885">
        <f t="shared" si="136"/>
        <v>4000</v>
      </c>
      <c r="M642" s="876">
        <v>4000</v>
      </c>
      <c r="N642" s="876">
        <v>4000</v>
      </c>
      <c r="O642" s="877"/>
      <c r="P642" s="951"/>
    </row>
    <row r="643" spans="1:16" x14ac:dyDescent="0.25">
      <c r="A643" s="18"/>
      <c r="B643" s="291"/>
      <c r="C643" s="37" t="s">
        <v>235</v>
      </c>
      <c r="D643" s="52">
        <v>613321</v>
      </c>
      <c r="E643" s="85" t="s">
        <v>539</v>
      </c>
      <c r="F643" s="39">
        <v>2969</v>
      </c>
      <c r="G643" s="39">
        <v>5600</v>
      </c>
      <c r="H643" s="47">
        <f>2500+3100</f>
        <v>5600</v>
      </c>
      <c r="I643" s="45"/>
      <c r="J643" s="47"/>
      <c r="K643" s="45"/>
      <c r="L643" s="62">
        <f t="shared" si="136"/>
        <v>5600</v>
      </c>
      <c r="M643" s="39">
        <f>2500+2000</f>
        <v>4500</v>
      </c>
      <c r="N643" s="39">
        <v>2500</v>
      </c>
      <c r="O643" s="40"/>
    </row>
    <row r="644" spans="1:16" x14ac:dyDescent="0.25">
      <c r="A644" s="18"/>
      <c r="B644" s="291"/>
      <c r="C644" s="37" t="s">
        <v>235</v>
      </c>
      <c r="D644" s="52">
        <v>613323</v>
      </c>
      <c r="E644" s="85" t="s">
        <v>1027</v>
      </c>
      <c r="F644" s="39">
        <v>4216</v>
      </c>
      <c r="G644" s="39">
        <f>3500+1500</f>
        <v>5000</v>
      </c>
      <c r="H644" s="45">
        <v>5000</v>
      </c>
      <c r="I644" s="45"/>
      <c r="J644" s="47"/>
      <c r="K644" s="45"/>
      <c r="L644" s="62">
        <f t="shared" si="136"/>
        <v>5000</v>
      </c>
      <c r="M644" s="39">
        <f>3500+1500</f>
        <v>5000</v>
      </c>
      <c r="N644" s="39">
        <v>5000</v>
      </c>
      <c r="O644" s="40"/>
    </row>
    <row r="645" spans="1:16" x14ac:dyDescent="0.25">
      <c r="A645" s="18"/>
      <c r="B645" s="291"/>
      <c r="C645" s="37" t="s">
        <v>235</v>
      </c>
      <c r="D645" s="37">
        <v>613400</v>
      </c>
      <c r="E645" s="38" t="s">
        <v>94</v>
      </c>
      <c r="F645" s="39">
        <v>6610</v>
      </c>
      <c r="G645" s="39">
        <v>41760</v>
      </c>
      <c r="H645" s="45">
        <f>9500+3000+2000+22260+5000</f>
        <v>41760</v>
      </c>
      <c r="I645" s="45"/>
      <c r="J645" s="47"/>
      <c r="K645" s="45"/>
      <c r="L645" s="62">
        <f t="shared" si="136"/>
        <v>41760</v>
      </c>
      <c r="M645" s="39">
        <f>10000+50</f>
        <v>10050</v>
      </c>
      <c r="N645" s="39">
        <f>3000+1000+1000+5000</f>
        <v>10000</v>
      </c>
      <c r="O645" s="40"/>
    </row>
    <row r="646" spans="1:16" x14ac:dyDescent="0.25">
      <c r="A646" s="18"/>
      <c r="B646" s="291"/>
      <c r="C646" s="37" t="s">
        <v>235</v>
      </c>
      <c r="D646" s="43">
        <v>613400</v>
      </c>
      <c r="E646" s="63" t="s">
        <v>932</v>
      </c>
      <c r="F646" s="39"/>
      <c r="G646" s="39"/>
      <c r="H646" s="45">
        <v>4000</v>
      </c>
      <c r="I646" s="45"/>
      <c r="J646" s="47"/>
      <c r="K646" s="45"/>
      <c r="L646" s="62">
        <f t="shared" si="136"/>
        <v>4000</v>
      </c>
      <c r="M646" s="39"/>
      <c r="N646" s="39"/>
      <c r="O646" s="40"/>
      <c r="P646" s="821"/>
    </row>
    <row r="647" spans="1:16" x14ac:dyDescent="0.25">
      <c r="A647" s="18"/>
      <c r="B647" s="291"/>
      <c r="C647" s="37" t="s">
        <v>235</v>
      </c>
      <c r="D647" s="43">
        <v>613500</v>
      </c>
      <c r="E647" s="63" t="s">
        <v>127</v>
      </c>
      <c r="F647" s="62">
        <v>27808</v>
      </c>
      <c r="G647" s="62">
        <f>G648+G649</f>
        <v>40000</v>
      </c>
      <c r="H647" s="45">
        <f>H648+H649</f>
        <v>40000</v>
      </c>
      <c r="I647" s="45">
        <f>I648+I649</f>
        <v>0</v>
      </c>
      <c r="J647" s="47">
        <f>J648+J649</f>
        <v>0</v>
      </c>
      <c r="K647" s="45">
        <f>K648+K649</f>
        <v>0</v>
      </c>
      <c r="L647" s="62">
        <f t="shared" si="136"/>
        <v>40000</v>
      </c>
      <c r="M647" s="62">
        <v>40000</v>
      </c>
      <c r="N647" s="62">
        <v>40000</v>
      </c>
      <c r="O647" s="40"/>
    </row>
    <row r="648" spans="1:16" x14ac:dyDescent="0.25">
      <c r="A648" s="18"/>
      <c r="B648" s="291"/>
      <c r="C648" s="37" t="s">
        <v>235</v>
      </c>
      <c r="D648" s="43">
        <v>613511</v>
      </c>
      <c r="E648" s="63" t="s">
        <v>200</v>
      </c>
      <c r="F648" s="257">
        <v>23104</v>
      </c>
      <c r="G648" s="257">
        <v>35000</v>
      </c>
      <c r="H648" s="256">
        <v>35000</v>
      </c>
      <c r="I648" s="256"/>
      <c r="J648" s="588"/>
      <c r="K648" s="256"/>
      <c r="L648" s="257">
        <f t="shared" si="136"/>
        <v>35000</v>
      </c>
      <c r="M648" s="257">
        <v>35000</v>
      </c>
      <c r="N648" s="257">
        <v>35000</v>
      </c>
      <c r="O648" s="777"/>
    </row>
    <row r="649" spans="1:16" x14ac:dyDescent="0.25">
      <c r="A649" s="18"/>
      <c r="B649" s="291"/>
      <c r="C649" s="37" t="s">
        <v>235</v>
      </c>
      <c r="D649" s="43">
        <v>613523</v>
      </c>
      <c r="E649" s="63" t="s">
        <v>201</v>
      </c>
      <c r="F649" s="257">
        <v>4704</v>
      </c>
      <c r="G649" s="257">
        <f>5000</f>
        <v>5000</v>
      </c>
      <c r="H649" s="39">
        <v>5000</v>
      </c>
      <c r="I649" s="39"/>
      <c r="J649" s="62"/>
      <c r="K649" s="39"/>
      <c r="L649" s="257">
        <f t="shared" si="136"/>
        <v>5000</v>
      </c>
      <c r="M649" s="257">
        <v>5000</v>
      </c>
      <c r="N649" s="257">
        <v>5000</v>
      </c>
      <c r="O649" s="777"/>
    </row>
    <row r="650" spans="1:16" x14ac:dyDescent="0.25">
      <c r="A650" s="18"/>
      <c r="B650" s="291"/>
      <c r="C650" s="37" t="s">
        <v>235</v>
      </c>
      <c r="D650" s="37">
        <v>613700</v>
      </c>
      <c r="E650" s="63" t="s">
        <v>79</v>
      </c>
      <c r="F650" s="39">
        <f>F651+F652+F653+F654+F656+F657+F658+F659</f>
        <v>30385</v>
      </c>
      <c r="G650" s="39">
        <f>G651+G652+G653+G654+G656+G657+G658+G659</f>
        <v>94900</v>
      </c>
      <c r="H650" s="256">
        <f t="shared" ref="H650:N650" si="137">H651+H652+H653+H654+H655+H656+H657+H658+H659</f>
        <v>112500</v>
      </c>
      <c r="I650" s="256">
        <f t="shared" si="137"/>
        <v>0</v>
      </c>
      <c r="J650" s="256">
        <f t="shared" si="137"/>
        <v>0</v>
      </c>
      <c r="K650" s="256">
        <f t="shared" si="137"/>
        <v>0</v>
      </c>
      <c r="L650" s="39">
        <f t="shared" si="137"/>
        <v>112500</v>
      </c>
      <c r="M650" s="39">
        <f>M651+M652+M653+M654+M655+M656+M657+M658+M659</f>
        <v>106000</v>
      </c>
      <c r="N650" s="39">
        <f t="shared" si="137"/>
        <v>106000</v>
      </c>
      <c r="O650" s="40"/>
    </row>
    <row r="651" spans="1:16" ht="30.75" customHeight="1" x14ac:dyDescent="0.25">
      <c r="A651" s="18"/>
      <c r="B651" s="291"/>
      <c r="C651" s="37" t="s">
        <v>235</v>
      </c>
      <c r="D651" s="353" t="s">
        <v>286</v>
      </c>
      <c r="E651" s="352" t="s">
        <v>456</v>
      </c>
      <c r="F651" s="39"/>
      <c r="G651" s="39">
        <v>15000</v>
      </c>
      <c r="H651" s="62">
        <v>7500</v>
      </c>
      <c r="I651" s="39"/>
      <c r="J651" s="62"/>
      <c r="K651" s="39"/>
      <c r="L651" s="257">
        <f t="shared" si="136"/>
        <v>7500</v>
      </c>
      <c r="M651" s="39">
        <v>6500</v>
      </c>
      <c r="N651" s="39">
        <v>6500</v>
      </c>
      <c r="O651" s="40"/>
    </row>
    <row r="652" spans="1:16" ht="30.75" x14ac:dyDescent="0.25">
      <c r="A652" s="18"/>
      <c r="B652" s="291"/>
      <c r="C652" s="37"/>
      <c r="D652" s="353">
        <v>613721</v>
      </c>
      <c r="E652" s="352" t="s">
        <v>287</v>
      </c>
      <c r="F652" s="39">
        <v>25270</v>
      </c>
      <c r="G652" s="39">
        <v>30000</v>
      </c>
      <c r="H652" s="117">
        <v>35000</v>
      </c>
      <c r="I652" s="61"/>
      <c r="J652" s="117"/>
      <c r="K652" s="61"/>
      <c r="L652" s="257">
        <f t="shared" si="136"/>
        <v>35000</v>
      </c>
      <c r="M652" s="39">
        <v>35000</v>
      </c>
      <c r="N652" s="39">
        <v>35000</v>
      </c>
      <c r="O652" s="40"/>
    </row>
    <row r="653" spans="1:16" ht="30.75" x14ac:dyDescent="0.25">
      <c r="A653" s="18"/>
      <c r="B653" s="291"/>
      <c r="C653" s="37"/>
      <c r="D653" s="353">
        <v>613721</v>
      </c>
      <c r="E653" s="352" t="s">
        <v>288</v>
      </c>
      <c r="F653" s="39">
        <v>337</v>
      </c>
      <c r="G653" s="39">
        <v>4000</v>
      </c>
      <c r="H653" s="117">
        <f>1000+1000</f>
        <v>2000</v>
      </c>
      <c r="I653" s="61"/>
      <c r="J653" s="117"/>
      <c r="K653" s="61"/>
      <c r="L653" s="257">
        <f t="shared" si="136"/>
        <v>2000</v>
      </c>
      <c r="M653" s="39">
        <v>1000</v>
      </c>
      <c r="N653" s="39">
        <v>1000</v>
      </c>
      <c r="O653" s="40"/>
    </row>
    <row r="654" spans="1:16" ht="45.75" x14ac:dyDescent="0.25">
      <c r="A654" s="18"/>
      <c r="B654" s="291"/>
      <c r="C654" s="37"/>
      <c r="D654" s="353">
        <v>613721</v>
      </c>
      <c r="E654" s="352" t="s">
        <v>289</v>
      </c>
      <c r="F654" s="39"/>
      <c r="G654" s="39">
        <v>10000</v>
      </c>
      <c r="H654" s="117">
        <f>5500+4500</f>
        <v>10000</v>
      </c>
      <c r="I654" s="61"/>
      <c r="J654" s="117"/>
      <c r="K654" s="61"/>
      <c r="L654" s="257">
        <f t="shared" si="136"/>
        <v>10000</v>
      </c>
      <c r="M654" s="39">
        <v>5500</v>
      </c>
      <c r="N654" s="39">
        <v>5500</v>
      </c>
      <c r="O654" s="40"/>
    </row>
    <row r="655" spans="1:16" x14ac:dyDescent="0.25">
      <c r="A655" s="18"/>
      <c r="B655" s="291"/>
      <c r="C655" s="37"/>
      <c r="D655" s="353">
        <v>613721</v>
      </c>
      <c r="E655" s="862" t="s">
        <v>972</v>
      </c>
      <c r="F655" s="39"/>
      <c r="G655" s="39"/>
      <c r="H655" s="300">
        <f>10000+5000</f>
        <v>15000</v>
      </c>
      <c r="I655" s="48"/>
      <c r="J655" s="300"/>
      <c r="K655" s="48"/>
      <c r="L655" s="257">
        <f t="shared" si="136"/>
        <v>15000</v>
      </c>
      <c r="M655" s="39">
        <f>10000+5000</f>
        <v>15000</v>
      </c>
      <c r="N655" s="39">
        <f>10000+5000</f>
        <v>15000</v>
      </c>
      <c r="O655" s="40"/>
      <c r="P655" s="821"/>
    </row>
    <row r="656" spans="1:16" x14ac:dyDescent="0.25">
      <c r="A656" s="18"/>
      <c r="B656" s="291"/>
      <c r="C656" s="37"/>
      <c r="D656" s="43">
        <v>613722</v>
      </c>
      <c r="E656" s="863" t="s">
        <v>973</v>
      </c>
      <c r="F656" s="39">
        <v>632</v>
      </c>
      <c r="G656" s="39">
        <v>5900</v>
      </c>
      <c r="H656" s="48">
        <f>5900+4100</f>
        <v>10000</v>
      </c>
      <c r="I656" s="48"/>
      <c r="J656" s="300"/>
      <c r="K656" s="48"/>
      <c r="L656" s="257">
        <f t="shared" si="136"/>
        <v>10000</v>
      </c>
      <c r="M656" s="39">
        <f>900+9100</f>
        <v>10000</v>
      </c>
      <c r="N656" s="39">
        <f>900+9100</f>
        <v>10000</v>
      </c>
      <c r="O656" s="40"/>
    </row>
    <row r="657" spans="1:16" x14ac:dyDescent="0.25">
      <c r="A657" s="18"/>
      <c r="B657" s="291"/>
      <c r="C657" s="37"/>
      <c r="D657" s="137">
        <v>613723</v>
      </c>
      <c r="E657" s="162" t="s">
        <v>934</v>
      </c>
      <c r="F657" s="39">
        <v>3892</v>
      </c>
      <c r="G657" s="39">
        <v>22000</v>
      </c>
      <c r="H657" s="47">
        <f>25000+5000</f>
        <v>30000</v>
      </c>
      <c r="I657" s="45"/>
      <c r="J657" s="47"/>
      <c r="K657" s="45"/>
      <c r="L657" s="62">
        <f t="shared" si="136"/>
        <v>30000</v>
      </c>
      <c r="M657" s="39">
        <f>25000+5000</f>
        <v>30000</v>
      </c>
      <c r="N657" s="39">
        <f>25000+5000</f>
        <v>30000</v>
      </c>
      <c r="O657" s="40"/>
    </row>
    <row r="658" spans="1:16" ht="30.75" x14ac:dyDescent="0.25">
      <c r="A658" s="18"/>
      <c r="B658" s="291"/>
      <c r="C658" s="37"/>
      <c r="D658" s="137">
        <v>613723</v>
      </c>
      <c r="E658" s="267" t="s">
        <v>935</v>
      </c>
      <c r="F658" s="39"/>
      <c r="G658" s="39">
        <v>3000</v>
      </c>
      <c r="H658" s="47">
        <f>11000-2000-6000</f>
        <v>3000</v>
      </c>
      <c r="I658" s="45"/>
      <c r="J658" s="47"/>
      <c r="K658" s="45"/>
      <c r="L658" s="257">
        <f t="shared" si="136"/>
        <v>3000</v>
      </c>
      <c r="M658" s="39">
        <f>4000-1000</f>
        <v>3000</v>
      </c>
      <c r="N658" s="39">
        <f>4000-1000</f>
        <v>3000</v>
      </c>
      <c r="O658" s="40"/>
    </row>
    <row r="659" spans="1:16" x14ac:dyDescent="0.25">
      <c r="A659" s="18"/>
      <c r="B659" s="291"/>
      <c r="C659" s="37"/>
      <c r="D659" s="137">
        <v>613727</v>
      </c>
      <c r="E659" s="162" t="s">
        <v>974</v>
      </c>
      <c r="F659" s="39">
        <v>254</v>
      </c>
      <c r="G659" s="39">
        <f>25000-20000</f>
        <v>5000</v>
      </c>
      <c r="H659" s="47">
        <f>5000-5000</f>
        <v>0</v>
      </c>
      <c r="I659" s="45"/>
      <c r="J659" s="47"/>
      <c r="K659" s="45"/>
      <c r="L659" s="62">
        <f t="shared" si="136"/>
        <v>0</v>
      </c>
      <c r="M659" s="39">
        <f>5000-5000</f>
        <v>0</v>
      </c>
      <c r="N659" s="39">
        <f>5000-5000</f>
        <v>0</v>
      </c>
      <c r="O659" s="40"/>
    </row>
    <row r="660" spans="1:16" x14ac:dyDescent="0.25">
      <c r="A660" s="18"/>
      <c r="B660" s="291"/>
      <c r="C660" s="37" t="s">
        <v>235</v>
      </c>
      <c r="D660" s="137">
        <v>613813</v>
      </c>
      <c r="E660" s="63" t="s">
        <v>80</v>
      </c>
      <c r="F660" s="62">
        <v>3825</v>
      </c>
      <c r="G660" s="62">
        <f>7000</f>
        <v>7000</v>
      </c>
      <c r="H660" s="47">
        <v>10000</v>
      </c>
      <c r="I660" s="47"/>
      <c r="J660" s="47"/>
      <c r="K660" s="47"/>
      <c r="L660" s="62">
        <f t="shared" si="136"/>
        <v>10000</v>
      </c>
      <c r="M660" s="62">
        <f>9000+1000</f>
        <v>10000</v>
      </c>
      <c r="N660" s="62">
        <f>9000+1000</f>
        <v>10000</v>
      </c>
      <c r="O660" s="40"/>
    </row>
    <row r="661" spans="1:16" x14ac:dyDescent="0.25">
      <c r="A661" s="18"/>
      <c r="B661" s="291"/>
      <c r="C661" s="37" t="s">
        <v>235</v>
      </c>
      <c r="D661" s="98">
        <v>613814</v>
      </c>
      <c r="E661" s="442" t="s">
        <v>979</v>
      </c>
      <c r="F661" s="40"/>
      <c r="G661" s="40">
        <f>6000</f>
        <v>6000</v>
      </c>
      <c r="H661" s="40">
        <f>6500+500</f>
        <v>7000</v>
      </c>
      <c r="I661" s="40"/>
      <c r="J661" s="301"/>
      <c r="K661" s="40"/>
      <c r="L661" s="40">
        <f>SUM(H661:K661)</f>
        <v>7000</v>
      </c>
      <c r="M661" s="62">
        <v>6500</v>
      </c>
      <c r="N661" s="62">
        <v>6500</v>
      </c>
      <c r="O661" s="99"/>
    </row>
    <row r="662" spans="1:16" x14ac:dyDescent="0.25">
      <c r="A662" s="18"/>
      <c r="B662" s="291"/>
      <c r="C662" s="37" t="s">
        <v>235</v>
      </c>
      <c r="D662" s="37">
        <v>613900</v>
      </c>
      <c r="E662" s="38" t="s">
        <v>980</v>
      </c>
      <c r="F662" s="93">
        <f>F663+F664+F671+F672+F674+F665+F667+F669</f>
        <v>73268</v>
      </c>
      <c r="G662" s="93">
        <f>G663+G664+G671+G672+G674+G665+G667+G669</f>
        <v>90580</v>
      </c>
      <c r="H662" s="108">
        <f>H663+H664+H665+H666+H667+H668+H669+H670+H671+H672+H673+H674+H675+H676</f>
        <v>129600</v>
      </c>
      <c r="I662" s="108">
        <f t="shared" ref="I662:N662" si="138">I663+I664+I665+I666+I667+I668+I669+I670+I671+I672+I673+I674+I675+I676</f>
        <v>0</v>
      </c>
      <c r="J662" s="108">
        <f t="shared" si="138"/>
        <v>0</v>
      </c>
      <c r="K662" s="108">
        <f t="shared" si="138"/>
        <v>0</v>
      </c>
      <c r="L662" s="108">
        <f t="shared" si="138"/>
        <v>129600</v>
      </c>
      <c r="M662" s="108">
        <f t="shared" si="138"/>
        <v>115700</v>
      </c>
      <c r="N662" s="108">
        <f t="shared" si="138"/>
        <v>115700</v>
      </c>
      <c r="O662" s="125"/>
    </row>
    <row r="663" spans="1:16" ht="30.75" x14ac:dyDescent="0.25">
      <c r="A663" s="18"/>
      <c r="B663" s="291"/>
      <c r="C663" s="37" t="s">
        <v>235</v>
      </c>
      <c r="D663" s="52">
        <v>613920</v>
      </c>
      <c r="E663" s="86" t="s">
        <v>981</v>
      </c>
      <c r="F663" s="39"/>
      <c r="G663" s="39">
        <f>300</f>
        <v>300</v>
      </c>
      <c r="H663" s="45">
        <v>2500</v>
      </c>
      <c r="I663" s="45"/>
      <c r="J663" s="47"/>
      <c r="K663" s="45"/>
      <c r="L663" s="39">
        <f t="shared" ref="L663:L675" si="139">H663+I663+J663+K663</f>
        <v>2500</v>
      </c>
      <c r="M663" s="39">
        <v>2500</v>
      </c>
      <c r="N663" s="39">
        <v>2500</v>
      </c>
      <c r="O663" s="40"/>
    </row>
    <row r="664" spans="1:16" ht="17.25" customHeight="1" x14ac:dyDescent="0.25">
      <c r="A664" s="18"/>
      <c r="B664" s="291"/>
      <c r="C664" s="37" t="s">
        <v>235</v>
      </c>
      <c r="D664" s="37">
        <v>613914</v>
      </c>
      <c r="E664" s="85" t="s">
        <v>982</v>
      </c>
      <c r="F664" s="50">
        <v>5444</v>
      </c>
      <c r="G664" s="50">
        <v>10200</v>
      </c>
      <c r="H664" s="47">
        <v>12000</v>
      </c>
      <c r="I664" s="45"/>
      <c r="J664" s="47"/>
      <c r="K664" s="45"/>
      <c r="L664" s="50">
        <f t="shared" si="139"/>
        <v>12000</v>
      </c>
      <c r="M664" s="50">
        <f>6500+3200</f>
        <v>9700</v>
      </c>
      <c r="N664" s="50">
        <f>6500+3200</f>
        <v>9700</v>
      </c>
      <c r="O664" s="778"/>
    </row>
    <row r="665" spans="1:16" ht="17.25" customHeight="1" x14ac:dyDescent="0.25">
      <c r="A665" s="18"/>
      <c r="B665" s="291"/>
      <c r="C665" s="37" t="s">
        <v>235</v>
      </c>
      <c r="D665" s="100">
        <v>613916</v>
      </c>
      <c r="E665" s="101" t="s">
        <v>983</v>
      </c>
      <c r="F665" s="102">
        <v>20415</v>
      </c>
      <c r="G665" s="102">
        <f>20000</f>
        <v>20000</v>
      </c>
      <c r="H665" s="47">
        <f>20000+5000</f>
        <v>25000</v>
      </c>
      <c r="I665" s="45"/>
      <c r="J665" s="47"/>
      <c r="K665" s="45"/>
      <c r="L665" s="62">
        <f t="shared" si="139"/>
        <v>25000</v>
      </c>
      <c r="M665" s="51">
        <f>20000+5000</f>
        <v>25000</v>
      </c>
      <c r="N665" s="51">
        <f>20000+5000</f>
        <v>25000</v>
      </c>
      <c r="O665" s="779"/>
    </row>
    <row r="666" spans="1:16" ht="17.25" customHeight="1" x14ac:dyDescent="0.25">
      <c r="A666" s="869"/>
      <c r="B666" s="291"/>
      <c r="C666" s="555" t="s">
        <v>235</v>
      </c>
      <c r="D666" s="555">
        <v>613941</v>
      </c>
      <c r="E666" s="925" t="s">
        <v>1028</v>
      </c>
      <c r="F666" s="954"/>
      <c r="G666" s="954"/>
      <c r="H666" s="911">
        <v>15000</v>
      </c>
      <c r="I666" s="911"/>
      <c r="J666" s="911"/>
      <c r="K666" s="911"/>
      <c r="L666" s="918">
        <f t="shared" si="139"/>
        <v>15000</v>
      </c>
      <c r="M666" s="955">
        <v>10000</v>
      </c>
      <c r="N666" s="955">
        <v>10000</v>
      </c>
      <c r="O666" s="779"/>
      <c r="P666" s="951"/>
    </row>
    <row r="667" spans="1:16" ht="48.75" customHeight="1" x14ac:dyDescent="0.25">
      <c r="A667" s="18"/>
      <c r="B667" s="291"/>
      <c r="C667" s="37" t="s">
        <v>218</v>
      </c>
      <c r="D667" s="37">
        <v>613973</v>
      </c>
      <c r="E667" s="116" t="s">
        <v>1029</v>
      </c>
      <c r="F667" s="103">
        <v>23490</v>
      </c>
      <c r="G667" s="103">
        <f>15000</f>
        <v>15000</v>
      </c>
      <c r="H667" s="47">
        <v>15000</v>
      </c>
      <c r="I667" s="45"/>
      <c r="J667" s="47"/>
      <c r="K667" s="47"/>
      <c r="L667" s="62">
        <f t="shared" si="139"/>
        <v>15000</v>
      </c>
      <c r="M667" s="51">
        <v>15000</v>
      </c>
      <c r="N667" s="51">
        <v>15000</v>
      </c>
      <c r="O667" s="779"/>
    </row>
    <row r="668" spans="1:16" ht="30.75" x14ac:dyDescent="0.25">
      <c r="A668" s="869"/>
      <c r="B668" s="291"/>
      <c r="C668" s="555" t="s">
        <v>235</v>
      </c>
      <c r="D668" s="555">
        <v>613983</v>
      </c>
      <c r="E668" s="853" t="s">
        <v>925</v>
      </c>
      <c r="F668" s="953"/>
      <c r="G668" s="953"/>
      <c r="H668" s="911">
        <v>12000</v>
      </c>
      <c r="I668" s="911"/>
      <c r="J668" s="911"/>
      <c r="K668" s="911"/>
      <c r="L668" s="918">
        <f t="shared" si="139"/>
        <v>12000</v>
      </c>
      <c r="M668" s="953">
        <v>12000</v>
      </c>
      <c r="N668" s="953">
        <v>12000</v>
      </c>
      <c r="O668" s="779"/>
      <c r="P668" s="951"/>
    </row>
    <row r="669" spans="1:16" ht="47.25" customHeight="1" x14ac:dyDescent="0.25">
      <c r="A669" s="18"/>
      <c r="B669" s="291"/>
      <c r="C669" s="37" t="s">
        <v>218</v>
      </c>
      <c r="D669" s="37">
        <v>613985</v>
      </c>
      <c r="E669" s="116" t="s">
        <v>1030</v>
      </c>
      <c r="F669" s="103">
        <v>5120</v>
      </c>
      <c r="G669" s="103">
        <f>6080</f>
        <v>6080</v>
      </c>
      <c r="H669" s="45">
        <v>6100</v>
      </c>
      <c r="I669" s="45"/>
      <c r="J669" s="47"/>
      <c r="K669" s="47"/>
      <c r="L669" s="62">
        <f t="shared" si="139"/>
        <v>6100</v>
      </c>
      <c r="M669" s="51">
        <v>6000</v>
      </c>
      <c r="N669" s="51">
        <v>6000</v>
      </c>
      <c r="O669" s="779"/>
    </row>
    <row r="670" spans="1:16" ht="47.25" customHeight="1" x14ac:dyDescent="0.25">
      <c r="A670" s="869"/>
      <c r="B670" s="291"/>
      <c r="C670" s="555" t="s">
        <v>235</v>
      </c>
      <c r="D670" s="555">
        <v>613991</v>
      </c>
      <c r="E670" s="853" t="s">
        <v>1031</v>
      </c>
      <c r="F670" s="920"/>
      <c r="G670" s="920"/>
      <c r="H670" s="911">
        <v>5500</v>
      </c>
      <c r="I670" s="911"/>
      <c r="J670" s="911"/>
      <c r="K670" s="911"/>
      <c r="L670" s="918">
        <f t="shared" si="139"/>
        <v>5500</v>
      </c>
      <c r="M670" s="920">
        <v>5500</v>
      </c>
      <c r="N670" s="920">
        <v>5500</v>
      </c>
      <c r="O670" s="779"/>
      <c r="P670" s="951"/>
    </row>
    <row r="671" spans="1:16" ht="30" customHeight="1" x14ac:dyDescent="0.25">
      <c r="A671" s="18"/>
      <c r="B671" s="291"/>
      <c r="C671" s="37" t="s">
        <v>235</v>
      </c>
      <c r="D671" s="100">
        <v>613991</v>
      </c>
      <c r="E671" s="662" t="s">
        <v>1032</v>
      </c>
      <c r="F671" s="117"/>
      <c r="G671" s="117">
        <v>5500</v>
      </c>
      <c r="H671" s="62">
        <v>5500</v>
      </c>
      <c r="I671" s="300"/>
      <c r="J671" s="300"/>
      <c r="K671" s="300"/>
      <c r="L671" s="62">
        <f t="shared" si="139"/>
        <v>5500</v>
      </c>
      <c r="M671" s="117">
        <v>5000</v>
      </c>
      <c r="N671" s="117">
        <v>5000</v>
      </c>
      <c r="O671" s="685"/>
    </row>
    <row r="672" spans="1:16" ht="30.75" x14ac:dyDescent="0.25">
      <c r="A672" s="18"/>
      <c r="B672" s="291"/>
      <c r="C672" s="100" t="s">
        <v>235</v>
      </c>
      <c r="D672" s="100">
        <v>613991</v>
      </c>
      <c r="E672" s="116" t="s">
        <v>1033</v>
      </c>
      <c r="F672" s="300"/>
      <c r="G672" s="300">
        <v>4000</v>
      </c>
      <c r="H672" s="300"/>
      <c r="I672" s="300"/>
      <c r="J672" s="300"/>
      <c r="K672" s="300"/>
      <c r="L672" s="62">
        <f t="shared" si="139"/>
        <v>0</v>
      </c>
      <c r="M672" s="300"/>
      <c r="N672" s="300"/>
      <c r="O672" s="780"/>
    </row>
    <row r="673" spans="1:16" ht="31.5" customHeight="1" x14ac:dyDescent="0.25">
      <c r="A673" s="18"/>
      <c r="B673" s="291"/>
      <c r="C673" s="100"/>
      <c r="D673" s="100">
        <v>613991</v>
      </c>
      <c r="E673" s="116" t="s">
        <v>1034</v>
      </c>
      <c r="F673" s="300"/>
      <c r="G673" s="300"/>
      <c r="H673" s="300"/>
      <c r="I673" s="300"/>
      <c r="J673" s="300"/>
      <c r="K673" s="300"/>
      <c r="L673" s="62">
        <f t="shared" si="139"/>
        <v>0</v>
      </c>
      <c r="M673" s="300"/>
      <c r="N673" s="300"/>
      <c r="O673" s="864"/>
      <c r="P673" s="857"/>
    </row>
    <row r="674" spans="1:16" ht="30.75" x14ac:dyDescent="0.25">
      <c r="A674" s="18"/>
      <c r="B674" s="291"/>
      <c r="C674" s="37" t="s">
        <v>235</v>
      </c>
      <c r="D674" s="37">
        <v>613995</v>
      </c>
      <c r="E674" s="86" t="s">
        <v>1035</v>
      </c>
      <c r="F674" s="51">
        <v>18799</v>
      </c>
      <c r="G674" s="51">
        <v>29500</v>
      </c>
      <c r="H674" s="62">
        <v>24000</v>
      </c>
      <c r="I674" s="48"/>
      <c r="J674" s="300"/>
      <c r="K674" s="48"/>
      <c r="L674" s="50">
        <f t="shared" si="139"/>
        <v>24000</v>
      </c>
      <c r="M674" s="51">
        <v>24000</v>
      </c>
      <c r="N674" s="51">
        <v>24000</v>
      </c>
      <c r="O674" s="781"/>
    </row>
    <row r="675" spans="1:16" ht="30.75" x14ac:dyDescent="0.25">
      <c r="A675" s="18"/>
      <c r="B675" s="291"/>
      <c r="C675" s="37" t="s">
        <v>235</v>
      </c>
      <c r="D675" s="37">
        <v>613995</v>
      </c>
      <c r="E675" s="86" t="s">
        <v>1036</v>
      </c>
      <c r="F675" s="51"/>
      <c r="G675" s="51"/>
      <c r="H675" s="117">
        <v>5500</v>
      </c>
      <c r="I675" s="48"/>
      <c r="J675" s="300"/>
      <c r="K675" s="48"/>
      <c r="L675" s="51">
        <f t="shared" si="139"/>
        <v>5500</v>
      </c>
      <c r="M675" s="51"/>
      <c r="N675" s="51"/>
      <c r="O675" s="827"/>
      <c r="P675" s="821"/>
    </row>
    <row r="676" spans="1:16" x14ac:dyDescent="0.25">
      <c r="A676" s="18"/>
      <c r="B676" s="291"/>
      <c r="C676" s="37" t="s">
        <v>235</v>
      </c>
      <c r="D676" s="555">
        <v>613991</v>
      </c>
      <c r="E676" s="853" t="s">
        <v>1037</v>
      </c>
      <c r="F676" s="617"/>
      <c r="G676" s="617"/>
      <c r="H676" s="313">
        <f>2000-500</f>
        <v>1500</v>
      </c>
      <c r="I676" s="313"/>
      <c r="J676" s="313"/>
      <c r="K676" s="313"/>
      <c r="L676" s="553">
        <f>H676+I676+J676+K676</f>
        <v>1500</v>
      </c>
      <c r="M676" s="617">
        <v>1000</v>
      </c>
      <c r="N676" s="617">
        <v>1000</v>
      </c>
      <c r="O676" s="827"/>
      <c r="P676" s="848"/>
    </row>
    <row r="677" spans="1:16" x14ac:dyDescent="0.25">
      <c r="A677" s="18"/>
      <c r="B677" s="291"/>
      <c r="C677" s="54" t="s">
        <v>235</v>
      </c>
      <c r="D677" s="27">
        <v>613000</v>
      </c>
      <c r="E677" s="55" t="s">
        <v>15</v>
      </c>
      <c r="F677" s="64">
        <f>F637+F638+F639+F645+F647+F650+F660+F661+F662</f>
        <v>194601</v>
      </c>
      <c r="G677" s="64">
        <f>G637+G638+G639+G645+G647+G650+G660+G661+G662</f>
        <v>353540</v>
      </c>
      <c r="H677" s="64">
        <f>H637+H638+H639+H645+H646+H647+H650+H660+H661+H662</f>
        <v>417920</v>
      </c>
      <c r="I677" s="64">
        <f>I637+I638+I639+I645+I646+I647+I650+I660+I661+I662</f>
        <v>0</v>
      </c>
      <c r="J677" s="64">
        <f>J637+J638+J639+J645+J646+J647+J650+J660+J661+J662</f>
        <v>0</v>
      </c>
      <c r="K677" s="64">
        <f>K637+K638+K639+K645+K646+K647+K650+K660+K661+K662</f>
        <v>0</v>
      </c>
      <c r="L677" s="64">
        <f>H677+I677+J677+K677</f>
        <v>417920</v>
      </c>
      <c r="M677" s="64">
        <f>M637+M638+M639+M645+M646+M647+M650+M660+M661+M662</f>
        <v>356850</v>
      </c>
      <c r="N677" s="64">
        <f>N637+N638+N639+N645+N646+N647+N650+N660+N661+N662</f>
        <v>354800</v>
      </c>
      <c r="O677" s="782"/>
    </row>
    <row r="678" spans="1:16" x14ac:dyDescent="0.25">
      <c r="A678" s="18"/>
      <c r="B678" s="291"/>
      <c r="C678" s="80"/>
      <c r="D678" s="243"/>
      <c r="E678" s="314"/>
      <c r="F678" s="244"/>
      <c r="G678" s="244"/>
      <c r="H678" s="244"/>
      <c r="I678" s="244"/>
      <c r="J678" s="244"/>
      <c r="K678" s="244"/>
      <c r="L678" s="244"/>
      <c r="M678" s="244"/>
      <c r="N678" s="244"/>
      <c r="O678" s="782"/>
      <c r="P678" s="856"/>
    </row>
    <row r="679" spans="1:16" ht="30.75" x14ac:dyDescent="0.25">
      <c r="A679" s="18"/>
      <c r="B679" s="291"/>
      <c r="C679" s="37" t="s">
        <v>218</v>
      </c>
      <c r="D679" s="37">
        <v>614819</v>
      </c>
      <c r="E679" s="245" t="s">
        <v>340</v>
      </c>
      <c r="F679" s="39"/>
      <c r="G679" s="39"/>
      <c r="H679" s="553">
        <f>50000-25000</f>
        <v>25000</v>
      </c>
      <c r="I679" s="553"/>
      <c r="J679" s="553"/>
      <c r="K679" s="553"/>
      <c r="L679" s="553">
        <f>H679+I679+J679+K679</f>
        <v>25000</v>
      </c>
      <c r="M679" s="553">
        <f>50000-25000</f>
        <v>25000</v>
      </c>
      <c r="N679" s="553">
        <f>50000-25000</f>
        <v>25000</v>
      </c>
      <c r="O679" s="782"/>
      <c r="P679" s="856"/>
    </row>
    <row r="680" spans="1:16" x14ac:dyDescent="0.25">
      <c r="A680" s="18"/>
      <c r="B680" s="291"/>
      <c r="C680" s="54"/>
      <c r="D680" s="27">
        <v>614000</v>
      </c>
      <c r="E680" s="55" t="s">
        <v>187</v>
      </c>
      <c r="F680" s="94"/>
      <c r="G680" s="94">
        <f t="shared" ref="G680" si="140">G676+G677+G678+G679</f>
        <v>353540</v>
      </c>
      <c r="H680" s="94">
        <f>H679</f>
        <v>25000</v>
      </c>
      <c r="I680" s="94">
        <f t="shared" ref="I680:N680" si="141">I679</f>
        <v>0</v>
      </c>
      <c r="J680" s="94">
        <f t="shared" si="141"/>
        <v>0</v>
      </c>
      <c r="K680" s="94">
        <f t="shared" si="141"/>
        <v>0</v>
      </c>
      <c r="L680" s="94">
        <f t="shared" si="141"/>
        <v>25000</v>
      </c>
      <c r="M680" s="94">
        <f t="shared" si="141"/>
        <v>25000</v>
      </c>
      <c r="N680" s="94">
        <f t="shared" si="141"/>
        <v>25000</v>
      </c>
      <c r="O680" s="784"/>
    </row>
    <row r="681" spans="1:16" x14ac:dyDescent="0.25">
      <c r="A681" s="18"/>
      <c r="B681" s="291"/>
      <c r="C681" s="859"/>
      <c r="D681" s="860"/>
      <c r="E681" s="861"/>
      <c r="F681" s="858"/>
      <c r="G681" s="858"/>
      <c r="H681" s="858"/>
      <c r="I681" s="858"/>
      <c r="J681" s="685"/>
      <c r="K681" s="858"/>
      <c r="L681" s="858"/>
      <c r="M681" s="858"/>
      <c r="N681" s="858"/>
      <c r="O681" s="90"/>
      <c r="P681" s="856"/>
    </row>
    <row r="682" spans="1:16" x14ac:dyDescent="0.25">
      <c r="A682" s="18"/>
      <c r="B682" s="291"/>
      <c r="C682" s="37" t="s">
        <v>235</v>
      </c>
      <c r="D682" s="37">
        <v>821311</v>
      </c>
      <c r="E682" s="446" t="s">
        <v>423</v>
      </c>
      <c r="F682" s="39">
        <v>5791</v>
      </c>
      <c r="G682" s="39">
        <f>7000</f>
        <v>7000</v>
      </c>
      <c r="H682" s="62"/>
      <c r="I682" s="39"/>
      <c r="J682" s="62"/>
      <c r="K682" s="39"/>
      <c r="L682" s="62">
        <f>H682+I682+J682+K682</f>
        <v>0</v>
      </c>
      <c r="M682" s="39"/>
      <c r="N682" s="758"/>
      <c r="O682" s="785" t="s">
        <v>892</v>
      </c>
    </row>
    <row r="683" spans="1:16" x14ac:dyDescent="0.25">
      <c r="A683" s="18"/>
      <c r="B683" s="291"/>
      <c r="C683" s="37"/>
      <c r="D683" s="37">
        <v>821312</v>
      </c>
      <c r="E683" s="569" t="s">
        <v>544</v>
      </c>
      <c r="F683" s="39">
        <v>23839</v>
      </c>
      <c r="G683" s="39">
        <v>30000</v>
      </c>
      <c r="H683" s="47"/>
      <c r="I683" s="45"/>
      <c r="J683" s="47"/>
      <c r="K683" s="45"/>
      <c r="L683" s="62">
        <f>H683+I683+J683+K683</f>
        <v>0</v>
      </c>
      <c r="M683" s="39"/>
      <c r="N683" s="758"/>
      <c r="O683" s="786"/>
    </row>
    <row r="684" spans="1:16" ht="30.75" x14ac:dyDescent="0.25">
      <c r="A684" s="18"/>
      <c r="B684" s="291"/>
      <c r="C684" s="37"/>
      <c r="D684" s="37">
        <v>821319</v>
      </c>
      <c r="E684" s="275" t="s">
        <v>933</v>
      </c>
      <c r="F684" s="39"/>
      <c r="G684" s="39">
        <v>15000</v>
      </c>
      <c r="H684" s="313"/>
      <c r="I684" s="313"/>
      <c r="J684" s="313"/>
      <c r="K684" s="313"/>
      <c r="L684" s="553">
        <f>H684+I684+J684+K684</f>
        <v>0</v>
      </c>
      <c r="M684" s="553"/>
      <c r="N684" s="865"/>
      <c r="O684" s="786"/>
    </row>
    <row r="685" spans="1:16" ht="15" customHeight="1" x14ac:dyDescent="0.25">
      <c r="A685" s="18"/>
      <c r="B685" s="291"/>
      <c r="C685" s="37"/>
      <c r="D685" s="37">
        <v>821300</v>
      </c>
      <c r="E685" s="907" t="s">
        <v>1038</v>
      </c>
      <c r="F685" s="62">
        <v>6128</v>
      </c>
      <c r="G685" s="62">
        <v>26000</v>
      </c>
      <c r="H685" s="47">
        <f>7000+15000+1000+2000</f>
        <v>25000</v>
      </c>
      <c r="I685" s="47"/>
      <c r="J685" s="47"/>
      <c r="K685" s="47"/>
      <c r="L685" s="62">
        <f>H685+I685+J685+K685</f>
        <v>25000</v>
      </c>
      <c r="M685" s="62">
        <v>25000</v>
      </c>
      <c r="N685" s="62">
        <v>25000</v>
      </c>
      <c r="O685" s="786"/>
    </row>
    <row r="686" spans="1:16" x14ac:dyDescent="0.25">
      <c r="A686" s="18"/>
      <c r="B686" s="291"/>
      <c r="C686" s="54" t="s">
        <v>235</v>
      </c>
      <c r="D686" s="27">
        <v>821000</v>
      </c>
      <c r="E686" s="55" t="s">
        <v>16</v>
      </c>
      <c r="F686" s="78">
        <f t="shared" ref="F686:G686" si="142">F682+F683+F684+F685</f>
        <v>35758</v>
      </c>
      <c r="G686" s="78">
        <f t="shared" si="142"/>
        <v>78000</v>
      </c>
      <c r="H686" s="78">
        <f>H682+H683+H684+H685</f>
        <v>25000</v>
      </c>
      <c r="I686" s="78">
        <f>I682+I683+I684+I685</f>
        <v>0</v>
      </c>
      <c r="J686" s="78">
        <f>J682+J683+J684+J685</f>
        <v>0</v>
      </c>
      <c r="K686" s="78">
        <f>K682+K683+K684+K685</f>
        <v>0</v>
      </c>
      <c r="L686" s="78">
        <f>L682+L683+L684+L685</f>
        <v>25000</v>
      </c>
      <c r="M686" s="78">
        <f t="shared" ref="M686:N686" si="143">M682+M683+M684+M685</f>
        <v>25000</v>
      </c>
      <c r="N686" s="787">
        <f t="shared" si="143"/>
        <v>25000</v>
      </c>
      <c r="O686" s="782"/>
    </row>
    <row r="687" spans="1:16" x14ac:dyDescent="0.25">
      <c r="A687" s="869"/>
      <c r="B687" s="291"/>
      <c r="C687" s="80"/>
      <c r="D687" s="243"/>
      <c r="E687" s="314"/>
      <c r="F687" s="906"/>
      <c r="G687" s="906"/>
      <c r="H687" s="906"/>
      <c r="I687" s="906"/>
      <c r="J687" s="906"/>
      <c r="K687" s="906"/>
      <c r="L687" s="906"/>
      <c r="M687" s="906"/>
      <c r="N687" s="906"/>
      <c r="O687" s="782"/>
      <c r="P687" s="867"/>
    </row>
    <row r="688" spans="1:16" ht="47.25" customHeight="1" x14ac:dyDescent="0.25">
      <c r="A688" s="18"/>
      <c r="B688" s="291"/>
      <c r="C688" s="901" t="s">
        <v>217</v>
      </c>
      <c r="D688" s="894">
        <v>311000</v>
      </c>
      <c r="E688" s="916" t="s">
        <v>251</v>
      </c>
      <c r="F688" s="889"/>
      <c r="G688" s="889"/>
      <c r="H688" s="919">
        <v>66000</v>
      </c>
      <c r="I688" s="919">
        <f>330000-(330000*15%)-280500</f>
        <v>0</v>
      </c>
      <c r="J688" s="919"/>
      <c r="K688" s="905"/>
      <c r="L688" s="889">
        <f>H688+I688+J688+K688</f>
        <v>66000</v>
      </c>
      <c r="M688" s="889">
        <v>66000</v>
      </c>
      <c r="N688" s="889">
        <v>66000</v>
      </c>
      <c r="O688" s="784"/>
    </row>
    <row r="689" spans="1:16" ht="9" customHeight="1" x14ac:dyDescent="0.25">
      <c r="A689" s="869"/>
      <c r="B689" s="291"/>
      <c r="C689" s="923"/>
      <c r="D689" s="671"/>
      <c r="E689" s="447"/>
      <c r="F689" s="685"/>
      <c r="G689" s="685"/>
      <c r="H689" s="117"/>
      <c r="I689" s="117"/>
      <c r="J689" s="117"/>
      <c r="K689" s="117"/>
      <c r="L689" s="685"/>
      <c r="M689" s="685"/>
      <c r="N689" s="685"/>
      <c r="O689" s="784"/>
      <c r="P689" s="867"/>
    </row>
    <row r="690" spans="1:16" x14ac:dyDescent="0.25">
      <c r="A690" s="20"/>
      <c r="B690" s="22"/>
      <c r="C690" s="66"/>
      <c r="D690" s="66"/>
      <c r="E690" s="27" t="s">
        <v>657</v>
      </c>
      <c r="F690" s="64">
        <f t="shared" ref="F690:G690" si="144">F633+F635+F677+F686</f>
        <v>401318</v>
      </c>
      <c r="G690" s="64">
        <f t="shared" si="144"/>
        <v>614372</v>
      </c>
      <c r="H690" s="64">
        <f>H633+H635+H677+H680+H686+H688</f>
        <v>951487.9</v>
      </c>
      <c r="I690" s="886">
        <f t="shared" ref="I690:N690" si="145">I633+I635+I677+I680+I686+I688</f>
        <v>0</v>
      </c>
      <c r="J690" s="886">
        <f t="shared" si="145"/>
        <v>0</v>
      </c>
      <c r="K690" s="886">
        <f t="shared" si="145"/>
        <v>0</v>
      </c>
      <c r="L690" s="886">
        <f t="shared" si="145"/>
        <v>951487.9</v>
      </c>
      <c r="M690" s="886">
        <f t="shared" si="145"/>
        <v>886350</v>
      </c>
      <c r="N690" s="886">
        <f t="shared" si="145"/>
        <v>885300</v>
      </c>
      <c r="O690" s="782"/>
    </row>
    <row r="691" spans="1:16" ht="13.5" customHeight="1" x14ac:dyDescent="0.25">
      <c r="A691" s="14"/>
      <c r="B691" s="291"/>
      <c r="C691" s="66"/>
      <c r="D691" s="66"/>
      <c r="E691" s="243"/>
      <c r="F691" s="244"/>
      <c r="G691" s="244"/>
      <c r="H691" s="265"/>
      <c r="I691" s="265"/>
      <c r="J691" s="265"/>
      <c r="K691" s="265"/>
      <c r="L691" s="244"/>
      <c r="M691" s="244"/>
      <c r="N691" s="244"/>
      <c r="O691" s="244"/>
    </row>
    <row r="692" spans="1:16" x14ac:dyDescent="0.25">
      <c r="A692" s="19"/>
      <c r="B692" s="293">
        <v>1111</v>
      </c>
      <c r="C692" s="66"/>
      <c r="D692" s="32"/>
      <c r="E692" s="700" t="s">
        <v>628</v>
      </c>
      <c r="F692" s="33"/>
      <c r="G692" s="33"/>
      <c r="H692" s="120"/>
      <c r="I692" s="120"/>
      <c r="J692" s="368"/>
      <c r="K692" s="120"/>
      <c r="L692" s="33"/>
      <c r="M692" s="33"/>
      <c r="N692" s="33"/>
      <c r="O692" s="244"/>
    </row>
    <row r="693" spans="1:16" ht="12.75" customHeight="1" x14ac:dyDescent="0.25">
      <c r="A693" s="20"/>
      <c r="B693" s="22"/>
      <c r="C693" s="79"/>
      <c r="D693" s="82"/>
      <c r="E693" s="168"/>
      <c r="F693" s="36"/>
      <c r="G693" s="36"/>
      <c r="H693" s="263"/>
      <c r="I693" s="263"/>
      <c r="J693" s="587"/>
      <c r="K693" s="263"/>
      <c r="L693" s="36"/>
      <c r="M693" s="36"/>
      <c r="N693" s="36"/>
      <c r="O693" s="244"/>
    </row>
    <row r="694" spans="1:16" x14ac:dyDescent="0.25">
      <c r="A694" s="20"/>
      <c r="B694" s="22"/>
      <c r="C694" s="37" t="s">
        <v>235</v>
      </c>
      <c r="D694" s="37">
        <v>611100</v>
      </c>
      <c r="E694" s="38" t="s">
        <v>632</v>
      </c>
      <c r="F694" s="45"/>
      <c r="G694" s="45">
        <v>88416</v>
      </c>
      <c r="H694" s="45">
        <f>5800*12+4400+(7400)/2-700</f>
        <v>77000</v>
      </c>
      <c r="I694" s="45"/>
      <c r="J694" s="47"/>
      <c r="K694" s="45"/>
      <c r="L694" s="47">
        <f>H694+I694+J694+K694</f>
        <v>77000</v>
      </c>
      <c r="M694" s="45">
        <v>88416</v>
      </c>
      <c r="N694" s="45">
        <v>88416</v>
      </c>
      <c r="O694" s="756" t="s">
        <v>1044</v>
      </c>
      <c r="P694" s="755">
        <f>573*12</f>
        <v>6876</v>
      </c>
    </row>
    <row r="695" spans="1:16" x14ac:dyDescent="0.25">
      <c r="A695" s="20"/>
      <c r="B695" s="22"/>
      <c r="C695" s="37" t="s">
        <v>235</v>
      </c>
      <c r="D695" s="37">
        <v>611200</v>
      </c>
      <c r="E695" s="38" t="s">
        <v>12</v>
      </c>
      <c r="F695" s="39"/>
      <c r="G695" s="39">
        <v>5197</v>
      </c>
      <c r="H695" s="48">
        <f>(2*22*9.3)*11+(2*455)-11</f>
        <v>5400.2000000000007</v>
      </c>
      <c r="I695" s="45"/>
      <c r="J695" s="47"/>
      <c r="K695" s="45"/>
      <c r="L695" s="47">
        <f>H695+I695+J695+K695</f>
        <v>5400.2000000000007</v>
      </c>
      <c r="M695" s="39">
        <v>5197</v>
      </c>
      <c r="N695" s="39">
        <v>5197</v>
      </c>
      <c r="O695" s="244"/>
    </row>
    <row r="696" spans="1:16" x14ac:dyDescent="0.25">
      <c r="A696" s="20"/>
      <c r="B696" s="22"/>
      <c r="C696" s="27" t="s">
        <v>235</v>
      </c>
      <c r="D696" s="27">
        <v>611000</v>
      </c>
      <c r="E696" s="55" t="s">
        <v>13</v>
      </c>
      <c r="F696" s="56">
        <f t="shared" ref="F696:G696" si="146">SUM(F694:F695)</f>
        <v>0</v>
      </c>
      <c r="G696" s="56">
        <f t="shared" si="146"/>
        <v>93613</v>
      </c>
      <c r="H696" s="78">
        <f>SUM(H694:H695)</f>
        <v>82400.2</v>
      </c>
      <c r="I696" s="78">
        <f>SUM(I694:I695)</f>
        <v>0</v>
      </c>
      <c r="J696" s="329">
        <f>SUM(J694:J695)</f>
        <v>0</v>
      </c>
      <c r="K696" s="78">
        <f>SUM(K694:K695)</f>
        <v>0</v>
      </c>
      <c r="L696" s="56">
        <f>SUM(L694:L695)</f>
        <v>82400.2</v>
      </c>
      <c r="M696" s="56">
        <f t="shared" ref="M696:N696" si="147">SUM(M694:M695)</f>
        <v>93613</v>
      </c>
      <c r="N696" s="56">
        <f t="shared" si="147"/>
        <v>93613</v>
      </c>
      <c r="O696" s="244"/>
    </row>
    <row r="697" spans="1:16" ht="11.25" customHeight="1" x14ac:dyDescent="0.25">
      <c r="A697" s="20"/>
      <c r="B697" s="22"/>
      <c r="C697" s="66"/>
      <c r="D697" s="66"/>
      <c r="E697" s="32"/>
      <c r="F697" s="73"/>
      <c r="G697" s="73"/>
      <c r="H697" s="120"/>
      <c r="I697" s="120"/>
      <c r="J697" s="368"/>
      <c r="K697" s="120"/>
      <c r="L697" s="73"/>
      <c r="M697" s="73"/>
      <c r="N697" s="73"/>
      <c r="O697" s="244"/>
    </row>
    <row r="698" spans="1:16" x14ac:dyDescent="0.25">
      <c r="A698" s="20"/>
      <c r="B698" s="22"/>
      <c r="C698" s="27" t="s">
        <v>235</v>
      </c>
      <c r="D698" s="27">
        <v>612111</v>
      </c>
      <c r="E698" s="124" t="s">
        <v>14</v>
      </c>
      <c r="F698" s="78"/>
      <c r="G698" s="78">
        <f>G694*10.5%+16</f>
        <v>9299.68</v>
      </c>
      <c r="H698" s="78">
        <f>610*12+(1180)/2+50</f>
        <v>7960</v>
      </c>
      <c r="I698" s="78"/>
      <c r="J698" s="329"/>
      <c r="K698" s="78"/>
      <c r="L698" s="78">
        <f>H698+I698+J698+K698</f>
        <v>7960</v>
      </c>
      <c r="M698" s="78">
        <f>M694*10.5%+16</f>
        <v>9299.68</v>
      </c>
      <c r="N698" s="78">
        <f>N694*10.5%+16</f>
        <v>9299.68</v>
      </c>
      <c r="O698" s="756" t="s">
        <v>1044</v>
      </c>
      <c r="P698" s="755">
        <v>47</v>
      </c>
    </row>
    <row r="699" spans="1:16" x14ac:dyDescent="0.25">
      <c r="A699" s="20"/>
      <c r="B699" s="22"/>
      <c r="C699" s="66"/>
      <c r="D699" s="66"/>
      <c r="E699" s="169"/>
      <c r="F699" s="36"/>
      <c r="G699" s="36"/>
      <c r="H699" s="263"/>
      <c r="I699" s="263"/>
      <c r="J699" s="587"/>
      <c r="K699" s="263"/>
      <c r="L699" s="36"/>
      <c r="M699" s="36"/>
      <c r="N699" s="36"/>
      <c r="O699" s="244"/>
    </row>
    <row r="700" spans="1:16" x14ac:dyDescent="0.25">
      <c r="A700" s="20"/>
      <c r="B700" s="22"/>
      <c r="C700" s="37" t="s">
        <v>235</v>
      </c>
      <c r="D700" s="37">
        <v>613100</v>
      </c>
      <c r="E700" s="122" t="s">
        <v>93</v>
      </c>
      <c r="F700" s="39"/>
      <c r="G700" s="39">
        <v>1000</v>
      </c>
      <c r="H700" s="45">
        <f>1000+500</f>
        <v>1500</v>
      </c>
      <c r="I700" s="45"/>
      <c r="J700" s="47"/>
      <c r="K700" s="45"/>
      <c r="L700" s="39">
        <f>H700+I700+J700+K700</f>
        <v>1500</v>
      </c>
      <c r="M700" s="39">
        <f>1000+1000</f>
        <v>2000</v>
      </c>
      <c r="N700" s="39">
        <f>1000+1500</f>
        <v>2500</v>
      </c>
      <c r="O700" s="244"/>
    </row>
    <row r="701" spans="1:16" x14ac:dyDescent="0.25">
      <c r="A701" s="20"/>
      <c r="B701" s="22"/>
      <c r="C701" s="37" t="s">
        <v>235</v>
      </c>
      <c r="D701" s="37">
        <v>613300</v>
      </c>
      <c r="E701" s="63" t="s">
        <v>114</v>
      </c>
      <c r="F701" s="45">
        <f>F702+F703</f>
        <v>0</v>
      </c>
      <c r="G701" s="45">
        <f>G702+G703</f>
        <v>1600</v>
      </c>
      <c r="H701" s="45">
        <f>H702+H703</f>
        <v>1100</v>
      </c>
      <c r="I701" s="45">
        <f>I702</f>
        <v>0</v>
      </c>
      <c r="J701" s="47">
        <f>J702</f>
        <v>0</v>
      </c>
      <c r="K701" s="45">
        <f>K702</f>
        <v>0</v>
      </c>
      <c r="L701" s="45">
        <f>L702+L703</f>
        <v>1100</v>
      </c>
      <c r="M701" s="45">
        <f>M702+M703</f>
        <v>1600</v>
      </c>
      <c r="N701" s="45">
        <f>N702+N703</f>
        <v>1600</v>
      </c>
      <c r="O701" s="244"/>
    </row>
    <row r="702" spans="1:16" x14ac:dyDescent="0.25">
      <c r="A702" s="20"/>
      <c r="B702" s="22"/>
      <c r="C702" s="37" t="s">
        <v>235</v>
      </c>
      <c r="D702" s="52">
        <v>613311</v>
      </c>
      <c r="E702" s="85" t="s">
        <v>121</v>
      </c>
      <c r="F702" s="45"/>
      <c r="G702" s="45">
        <v>1000</v>
      </c>
      <c r="H702" s="911">
        <f>1000-500</f>
        <v>500</v>
      </c>
      <c r="I702" s="45"/>
      <c r="J702" s="47"/>
      <c r="K702" s="45"/>
      <c r="L702" s="45">
        <f t="shared" ref="L702:L707" si="148">H702+I702+J702+K702</f>
        <v>500</v>
      </c>
      <c r="M702" s="45">
        <v>1000</v>
      </c>
      <c r="N702" s="45">
        <v>1000</v>
      </c>
      <c r="O702" s="244"/>
    </row>
    <row r="703" spans="1:16" x14ac:dyDescent="0.25">
      <c r="A703" s="20"/>
      <c r="B703" s="22"/>
      <c r="C703" s="37"/>
      <c r="D703" s="52">
        <v>613313</v>
      </c>
      <c r="E703" s="86" t="s">
        <v>197</v>
      </c>
      <c r="F703" s="96"/>
      <c r="G703" s="96">
        <v>600</v>
      </c>
      <c r="H703" s="47">
        <f>(50*12)</f>
        <v>600</v>
      </c>
      <c r="I703" s="48"/>
      <c r="J703" s="300"/>
      <c r="K703" s="48"/>
      <c r="L703" s="96">
        <f t="shared" si="148"/>
        <v>600</v>
      </c>
      <c r="M703" s="96">
        <v>600</v>
      </c>
      <c r="N703" s="96">
        <v>600</v>
      </c>
      <c r="O703" s="244"/>
    </row>
    <row r="704" spans="1:16" x14ac:dyDescent="0.25">
      <c r="A704" s="20"/>
      <c r="B704" s="22"/>
      <c r="C704" s="37" t="s">
        <v>235</v>
      </c>
      <c r="D704" s="37">
        <v>613400</v>
      </c>
      <c r="E704" s="38" t="s">
        <v>116</v>
      </c>
      <c r="F704" s="45"/>
      <c r="G704" s="45">
        <v>2000</v>
      </c>
      <c r="H704" s="45">
        <v>2000</v>
      </c>
      <c r="I704" s="45"/>
      <c r="J704" s="47"/>
      <c r="K704" s="45"/>
      <c r="L704" s="45">
        <f t="shared" si="148"/>
        <v>2000</v>
      </c>
      <c r="M704" s="45">
        <f>2000+500</f>
        <v>2500</v>
      </c>
      <c r="N704" s="45">
        <f>2000+1000</f>
        <v>3000</v>
      </c>
      <c r="O704" s="244"/>
    </row>
    <row r="705" spans="1:16" x14ac:dyDescent="0.25">
      <c r="A705" s="20"/>
      <c r="B705" s="22"/>
      <c r="C705" s="37" t="s">
        <v>235</v>
      </c>
      <c r="D705" s="37">
        <v>613900</v>
      </c>
      <c r="E705" s="38" t="s">
        <v>7</v>
      </c>
      <c r="F705" s="40">
        <f t="shared" ref="F705:K705" si="149">F706+F707</f>
        <v>0</v>
      </c>
      <c r="G705" s="40">
        <f t="shared" si="149"/>
        <v>1500</v>
      </c>
      <c r="H705" s="40">
        <f t="shared" si="149"/>
        <v>3000</v>
      </c>
      <c r="I705" s="40">
        <f t="shared" si="149"/>
        <v>0</v>
      </c>
      <c r="J705" s="40">
        <f t="shared" si="149"/>
        <v>0</v>
      </c>
      <c r="K705" s="40">
        <f t="shared" si="149"/>
        <v>0</v>
      </c>
      <c r="L705" s="84">
        <f t="shared" si="148"/>
        <v>3000</v>
      </c>
      <c r="M705" s="40">
        <f>M707</f>
        <v>3000</v>
      </c>
      <c r="N705" s="40">
        <f>N707</f>
        <v>3500</v>
      </c>
      <c r="O705" s="244"/>
    </row>
    <row r="706" spans="1:16" x14ac:dyDescent="0.25">
      <c r="A706" s="20"/>
      <c r="B706" s="22"/>
      <c r="C706" s="37" t="s">
        <v>235</v>
      </c>
      <c r="D706" s="37">
        <v>613914</v>
      </c>
      <c r="E706" s="85" t="s">
        <v>520</v>
      </c>
      <c r="F706" s="39"/>
      <c r="G706" s="39">
        <v>500</v>
      </c>
      <c r="H706" s="45">
        <v>500</v>
      </c>
      <c r="I706" s="84"/>
      <c r="J706" s="598"/>
      <c r="K706" s="84"/>
      <c r="L706" s="45">
        <f t="shared" si="148"/>
        <v>500</v>
      </c>
      <c r="M706" s="40"/>
      <c r="N706" s="40"/>
      <c r="O706" s="244"/>
    </row>
    <row r="707" spans="1:16" ht="30.75" x14ac:dyDescent="0.25">
      <c r="A707" s="20"/>
      <c r="B707" s="22"/>
      <c r="C707" s="37" t="s">
        <v>235</v>
      </c>
      <c r="D707" s="52">
        <v>613920</v>
      </c>
      <c r="E707" s="86" t="s">
        <v>202</v>
      </c>
      <c r="F707" s="96"/>
      <c r="G707" s="96">
        <f>1000</f>
        <v>1000</v>
      </c>
      <c r="H707" s="313">
        <f>1000+1500</f>
        <v>2500</v>
      </c>
      <c r="I707" s="45"/>
      <c r="J707" s="47"/>
      <c r="K707" s="45"/>
      <c r="L707" s="96">
        <f t="shared" si="148"/>
        <v>2500</v>
      </c>
      <c r="M707" s="617">
        <f>1000+2000</f>
        <v>3000</v>
      </c>
      <c r="N707" s="617">
        <f>1000+2500</f>
        <v>3500</v>
      </c>
      <c r="O707" s="244"/>
    </row>
    <row r="708" spans="1:16" x14ac:dyDescent="0.25">
      <c r="A708" s="20"/>
      <c r="B708" s="22"/>
      <c r="C708" s="27" t="s">
        <v>235</v>
      </c>
      <c r="D708" s="27">
        <v>613000</v>
      </c>
      <c r="E708" s="55" t="s">
        <v>15</v>
      </c>
      <c r="F708" s="56">
        <f t="shared" ref="F708:G708" si="150">F700+F701+F704+F705</f>
        <v>0</v>
      </c>
      <c r="G708" s="56">
        <f t="shared" si="150"/>
        <v>6100</v>
      </c>
      <c r="H708" s="78">
        <f>H700+H701+H704+H705</f>
        <v>7600</v>
      </c>
      <c r="I708" s="78">
        <f>I700+I701+I704+I705</f>
        <v>0</v>
      </c>
      <c r="J708" s="329">
        <f>J700+J701+J704+J705</f>
        <v>0</v>
      </c>
      <c r="K708" s="78">
        <f>K700+K701+K704+K705</f>
        <v>0</v>
      </c>
      <c r="L708" s="56">
        <f>L700+L701+L704+L705</f>
        <v>7600</v>
      </c>
      <c r="M708" s="56">
        <f t="shared" ref="M708:N708" si="151">M700+M701+M704+M705</f>
        <v>9100</v>
      </c>
      <c r="N708" s="56">
        <f t="shared" si="151"/>
        <v>10600</v>
      </c>
      <c r="O708" s="244"/>
    </row>
    <row r="709" spans="1:16" ht="12.75" customHeight="1" x14ac:dyDescent="0.25">
      <c r="A709" s="20"/>
      <c r="B709" s="22"/>
      <c r="C709" s="243"/>
      <c r="D709" s="243"/>
      <c r="E709" s="314"/>
      <c r="F709" s="244"/>
      <c r="G709" s="244"/>
      <c r="H709" s="265"/>
      <c r="I709" s="265"/>
      <c r="J709" s="265"/>
      <c r="K709" s="265"/>
      <c r="L709" s="244"/>
      <c r="M709" s="244"/>
      <c r="N709" s="244"/>
      <c r="O709" s="244"/>
    </row>
    <row r="710" spans="1:16" x14ac:dyDescent="0.25">
      <c r="A710" s="20"/>
      <c r="B710" s="22"/>
      <c r="C710" s="37" t="s">
        <v>235</v>
      </c>
      <c r="D710" s="106">
        <v>821300</v>
      </c>
      <c r="E710" s="656" t="s">
        <v>613</v>
      </c>
      <c r="F710" s="39"/>
      <c r="G710" s="39">
        <v>2500</v>
      </c>
      <c r="H710" s="301">
        <v>2500</v>
      </c>
      <c r="I710" s="40"/>
      <c r="J710" s="301"/>
      <c r="K710" s="40"/>
      <c r="L710" s="301">
        <f>H710+I710+J710+K710</f>
        <v>2500</v>
      </c>
      <c r="M710" s="39"/>
      <c r="N710" s="39"/>
      <c r="O710" s="244"/>
    </row>
    <row r="711" spans="1:16" ht="12.75" customHeight="1" x14ac:dyDescent="0.25">
      <c r="A711" s="20"/>
      <c r="B711" s="22"/>
      <c r="C711" s="80"/>
      <c r="D711" s="80"/>
      <c r="E711" s="376"/>
      <c r="F711" s="377"/>
      <c r="G711" s="377"/>
      <c r="H711" s="368"/>
      <c r="I711" s="368"/>
      <c r="J711" s="368"/>
      <c r="K711" s="368"/>
      <c r="L711" s="377"/>
      <c r="M711" s="377"/>
      <c r="N711" s="377"/>
      <c r="O711" s="244"/>
    </row>
    <row r="712" spans="1:16" x14ac:dyDescent="0.25">
      <c r="A712" s="20"/>
      <c r="B712" s="22"/>
      <c r="C712" s="66"/>
      <c r="D712" s="66"/>
      <c r="E712" s="27" t="s">
        <v>662</v>
      </c>
      <c r="F712" s="78">
        <f t="shared" ref="F712:G712" si="152">F696+F698+F708+F710</f>
        <v>0</v>
      </c>
      <c r="G712" s="78">
        <f t="shared" si="152"/>
        <v>111512.68</v>
      </c>
      <c r="H712" s="78">
        <f>H696+H698+H708+H710</f>
        <v>100460.2</v>
      </c>
      <c r="I712" s="78">
        <f>I696+I698+I708+I710</f>
        <v>0</v>
      </c>
      <c r="J712" s="78">
        <f>J696+J698+J708+J710</f>
        <v>0</v>
      </c>
      <c r="K712" s="78">
        <f>K696+K698+K708+K710</f>
        <v>0</v>
      </c>
      <c r="L712" s="78">
        <f>L696+L698+L708+L710</f>
        <v>100460.2</v>
      </c>
      <c r="M712" s="78">
        <f t="shared" ref="M712:N712" si="153">M696+M698+M708+M710</f>
        <v>112012.68</v>
      </c>
      <c r="N712" s="78">
        <f t="shared" si="153"/>
        <v>113512.68</v>
      </c>
      <c r="O712" s="244"/>
    </row>
    <row r="713" spans="1:16" ht="10.5" customHeight="1" x14ac:dyDescent="0.25">
      <c r="A713" s="14"/>
      <c r="B713" s="291"/>
      <c r="C713" s="66"/>
      <c r="D713" s="66"/>
      <c r="E713" s="243"/>
      <c r="F713" s="244"/>
      <c r="G713" s="244"/>
      <c r="H713" s="265"/>
      <c r="I713" s="265"/>
      <c r="J713" s="265"/>
      <c r="K713" s="265"/>
      <c r="L713" s="244"/>
      <c r="M713" s="244"/>
      <c r="N713" s="244"/>
      <c r="O713" s="244"/>
    </row>
    <row r="714" spans="1:16" ht="31.5" x14ac:dyDescent="0.25">
      <c r="A714" s="868"/>
      <c r="B714" s="295">
        <v>1112</v>
      </c>
      <c r="C714" s="32"/>
      <c r="D714" s="887"/>
      <c r="E714" s="75" t="s">
        <v>994</v>
      </c>
      <c r="F714" s="318"/>
      <c r="G714" s="318"/>
      <c r="H714" s="873"/>
      <c r="I714" s="318"/>
      <c r="J714" s="600"/>
      <c r="K714" s="318"/>
      <c r="L714" s="885"/>
      <c r="M714" s="318"/>
      <c r="N714" s="318"/>
      <c r="O714" s="244"/>
      <c r="P714" s="934"/>
    </row>
    <row r="715" spans="1:16" ht="15.75" customHeight="1" x14ac:dyDescent="0.25">
      <c r="A715" s="869"/>
      <c r="B715" s="22"/>
      <c r="C715" s="32"/>
      <c r="D715" s="887"/>
      <c r="E715" s="32"/>
      <c r="F715" s="888"/>
      <c r="G715" s="888"/>
      <c r="H715" s="903"/>
      <c r="I715" s="903"/>
      <c r="J715" s="913"/>
      <c r="K715" s="903"/>
      <c r="L715" s="888"/>
      <c r="M715" s="888"/>
      <c r="N715" s="888"/>
      <c r="O715" s="244" t="s">
        <v>1220</v>
      </c>
      <c r="P715" s="934"/>
    </row>
    <row r="716" spans="1:16" ht="32.25" customHeight="1" x14ac:dyDescent="0.25">
      <c r="A716" s="869"/>
      <c r="B716" s="22"/>
      <c r="C716" s="874" t="s">
        <v>215</v>
      </c>
      <c r="D716" s="874">
        <v>611100</v>
      </c>
      <c r="E716" s="44" t="s">
        <v>1222</v>
      </c>
      <c r="F716" s="876"/>
      <c r="G716" s="876"/>
      <c r="H716" s="885">
        <f>(2876+9+2400+8+2323+7+1778+6+1600+5+1646+5+1698+6+2378+8+2342+8+2195+7+1912+6+1787+6)*12+(2216*1)*12+(31622)/2</f>
        <v>342595</v>
      </c>
      <c r="I716" s="876"/>
      <c r="J716" s="885"/>
      <c r="K716" s="876"/>
      <c r="L716" s="885">
        <f>H716+I716+J716+K716</f>
        <v>342595</v>
      </c>
      <c r="M716" s="876">
        <v>322000</v>
      </c>
      <c r="N716" s="876">
        <v>330000</v>
      </c>
      <c r="O716" s="885">
        <f>(3080.48+2431.96+2735.17+2215.78*6)*12+(2216*2)*12+(1675.35*2+1459.17)*6+(31622)/2</f>
        <v>356361.69999999995</v>
      </c>
      <c r="P716" s="934">
        <v>31622</v>
      </c>
    </row>
    <row r="717" spans="1:16" ht="15.75" customHeight="1" x14ac:dyDescent="0.25">
      <c r="A717" s="869"/>
      <c r="B717" s="22"/>
      <c r="C717" s="874" t="s">
        <v>215</v>
      </c>
      <c r="D717" s="874">
        <v>611200</v>
      </c>
      <c r="E717" s="875" t="s">
        <v>12</v>
      </c>
      <c r="F717" s="876"/>
      <c r="G717" s="876"/>
      <c r="H717" s="909">
        <f>(12*22*9.3)*11+(12*450)+(390*11)+8100+203</f>
        <v>45000.200000000004</v>
      </c>
      <c r="I717" s="878"/>
      <c r="J717" s="879"/>
      <c r="K717" s="878"/>
      <c r="L717" s="885">
        <f>H717+I717+J717+K717</f>
        <v>45000.200000000004</v>
      </c>
      <c r="M717" s="876">
        <v>37000</v>
      </c>
      <c r="N717" s="876">
        <v>37000</v>
      </c>
      <c r="O717" s="244"/>
      <c r="P717" s="934"/>
    </row>
    <row r="718" spans="1:16" ht="15.75" customHeight="1" x14ac:dyDescent="0.25">
      <c r="A718" s="869"/>
      <c r="B718" s="22"/>
      <c r="C718" s="874"/>
      <c r="D718" s="874"/>
      <c r="E718" s="881" t="s">
        <v>1221</v>
      </c>
      <c r="F718" s="878"/>
      <c r="G718" s="878"/>
      <c r="H718" s="878">
        <f>7500-7500+(1620*5)</f>
        <v>8100</v>
      </c>
      <c r="I718" s="878"/>
      <c r="J718" s="879"/>
      <c r="K718" s="878"/>
      <c r="L718" s="885">
        <f>H718+I718+J718+K718</f>
        <v>8100</v>
      </c>
      <c r="M718" s="878"/>
      <c r="N718" s="878"/>
      <c r="O718" s="244"/>
      <c r="P718" s="934"/>
    </row>
    <row r="719" spans="1:16" ht="15.75" customHeight="1" x14ac:dyDescent="0.25">
      <c r="A719" s="869"/>
      <c r="B719" s="22"/>
      <c r="C719" s="54" t="s">
        <v>219</v>
      </c>
      <c r="D719" s="870">
        <v>611000</v>
      </c>
      <c r="E719" s="883" t="s">
        <v>13</v>
      </c>
      <c r="F719" s="884">
        <f t="shared" ref="F719:G719" si="154">F716+F717</f>
        <v>0</v>
      </c>
      <c r="G719" s="884">
        <f t="shared" si="154"/>
        <v>0</v>
      </c>
      <c r="H719" s="889">
        <f>H716+H717</f>
        <v>387595.2</v>
      </c>
      <c r="I719" s="889">
        <f>I716+I717</f>
        <v>0</v>
      </c>
      <c r="J719" s="912">
        <f>J716+J717</f>
        <v>0</v>
      </c>
      <c r="K719" s="889">
        <f>K716+K717</f>
        <v>0</v>
      </c>
      <c r="L719" s="889">
        <f>L716+L717</f>
        <v>387595.2</v>
      </c>
      <c r="M719" s="884">
        <f t="shared" ref="M719:N719" si="155">M716+M717</f>
        <v>359000</v>
      </c>
      <c r="N719" s="884">
        <f t="shared" si="155"/>
        <v>367000</v>
      </c>
      <c r="O719" s="244"/>
      <c r="P719" s="934"/>
    </row>
    <row r="720" spans="1:16" ht="15.75" customHeight="1" x14ac:dyDescent="0.25">
      <c r="A720" s="869"/>
      <c r="B720" s="22"/>
      <c r="C720" s="871"/>
      <c r="D720" s="871"/>
      <c r="E720" s="872"/>
      <c r="F720" s="893"/>
      <c r="G720" s="893"/>
      <c r="H720" s="903"/>
      <c r="I720" s="903"/>
      <c r="J720" s="913"/>
      <c r="K720" s="903"/>
      <c r="L720" s="885"/>
      <c r="M720" s="893"/>
      <c r="N720" s="893"/>
      <c r="O720" s="244"/>
      <c r="P720" s="934"/>
    </row>
    <row r="721" spans="1:16" ht="15.75" customHeight="1" x14ac:dyDescent="0.25">
      <c r="A721" s="869"/>
      <c r="B721" s="22"/>
      <c r="C721" s="54" t="s">
        <v>215</v>
      </c>
      <c r="D721" s="870">
        <v>612111</v>
      </c>
      <c r="E721" s="883" t="s">
        <v>14</v>
      </c>
      <c r="F721" s="889"/>
      <c r="G721" s="889"/>
      <c r="H721" s="889">
        <f>(323.45+255.36+287.19+232.66*6)*12+(176*2)*12+(175.91*2+153.21)*6+(3320)/2</f>
        <v>36057.699999999997</v>
      </c>
      <c r="I721" s="889"/>
      <c r="J721" s="912"/>
      <c r="K721" s="889"/>
      <c r="L721" s="889">
        <f>H721+I721+J721+K721</f>
        <v>36057.699999999997</v>
      </c>
      <c r="M721" s="889">
        <v>35000</v>
      </c>
      <c r="N721" s="889">
        <v>37000</v>
      </c>
      <c r="O721" s="756">
        <f>342595*10.5/100</f>
        <v>35972.474999999999</v>
      </c>
      <c r="P721" s="934">
        <v>3320</v>
      </c>
    </row>
    <row r="722" spans="1:16" ht="15.75" customHeight="1" x14ac:dyDescent="0.25">
      <c r="A722" s="869"/>
      <c r="B722" s="22"/>
      <c r="C722" s="871"/>
      <c r="D722" s="871"/>
      <c r="E722" s="872"/>
      <c r="F722" s="893"/>
      <c r="G722" s="893"/>
      <c r="H722" s="903"/>
      <c r="I722" s="903"/>
      <c r="J722" s="913"/>
      <c r="K722" s="903"/>
      <c r="L722" s="885"/>
      <c r="M722" s="893"/>
      <c r="N722" s="893"/>
      <c r="O722" s="244"/>
      <c r="P722" s="934"/>
    </row>
    <row r="723" spans="1:16" ht="15.75" customHeight="1" x14ac:dyDescent="0.25">
      <c r="A723" s="869"/>
      <c r="B723" s="22"/>
      <c r="C723" s="874" t="s">
        <v>215</v>
      </c>
      <c r="D723" s="874">
        <v>613100</v>
      </c>
      <c r="E723" s="875" t="s">
        <v>93</v>
      </c>
      <c r="F723" s="876"/>
      <c r="G723" s="876"/>
      <c r="H723" s="885">
        <f>1200+300-500+200</f>
        <v>1200</v>
      </c>
      <c r="I723" s="876"/>
      <c r="J723" s="885"/>
      <c r="K723" s="876"/>
      <c r="L723" s="885">
        <f t="shared" ref="L723:L737" si="156">H723+I723+J723+K723</f>
        <v>1200</v>
      </c>
      <c r="M723" s="876">
        <v>1200</v>
      </c>
      <c r="N723" s="876">
        <v>1200</v>
      </c>
      <c r="O723" s="244"/>
      <c r="P723" s="934"/>
    </row>
    <row r="724" spans="1:16" ht="30.75" customHeight="1" x14ac:dyDescent="0.25">
      <c r="A724" s="869"/>
      <c r="B724" s="22"/>
      <c r="C724" s="874" t="s">
        <v>229</v>
      </c>
      <c r="D724" s="882">
        <v>613210</v>
      </c>
      <c r="E724" s="908" t="s">
        <v>672</v>
      </c>
      <c r="F724" s="900">
        <f>F725+F726</f>
        <v>557906</v>
      </c>
      <c r="G724" s="900">
        <f>G725+G726</f>
        <v>502500</v>
      </c>
      <c r="H724" s="104"/>
      <c r="I724" s="104"/>
      <c r="J724" s="595">
        <f>J725+J726</f>
        <v>582500</v>
      </c>
      <c r="K724" s="104"/>
      <c r="L724" s="876">
        <f t="shared" si="156"/>
        <v>582500</v>
      </c>
      <c r="M724" s="900">
        <f>M725+M726</f>
        <v>502000</v>
      </c>
      <c r="N724" s="900">
        <f>N725+N726</f>
        <v>502000</v>
      </c>
      <c r="O724" s="244"/>
      <c r="P724" s="934"/>
    </row>
    <row r="725" spans="1:16" ht="20.25" customHeight="1" x14ac:dyDescent="0.25">
      <c r="A725" s="869"/>
      <c r="B725" s="22"/>
      <c r="C725" s="37" t="s">
        <v>229</v>
      </c>
      <c r="D725" s="52">
        <v>613211</v>
      </c>
      <c r="E725" s="49" t="s">
        <v>673</v>
      </c>
      <c r="F725" s="45">
        <v>557906</v>
      </c>
      <c r="G725" s="45">
        <f>530000-30000</f>
        <v>500000</v>
      </c>
      <c r="H725" s="45"/>
      <c r="I725" s="45"/>
      <c r="J725" s="47">
        <f>500000+80000</f>
        <v>580000</v>
      </c>
      <c r="K725" s="45"/>
      <c r="L725" s="39">
        <f>H725+I725+J725+K725</f>
        <v>580000</v>
      </c>
      <c r="M725" s="45">
        <f>530000-30000</f>
        <v>500000</v>
      </c>
      <c r="N725" s="45">
        <f>530000-30000</f>
        <v>500000</v>
      </c>
      <c r="O725" s="244"/>
      <c r="P725" s="934"/>
    </row>
    <row r="726" spans="1:16" ht="47.25" customHeight="1" x14ac:dyDescent="0.25">
      <c r="A726" s="869"/>
      <c r="B726" s="22"/>
      <c r="C726" s="100"/>
      <c r="D726" s="273"/>
      <c r="E726" s="101" t="s">
        <v>674</v>
      </c>
      <c r="F726" s="47"/>
      <c r="G726" s="47">
        <v>2500</v>
      </c>
      <c r="H726" s="47"/>
      <c r="I726" s="47"/>
      <c r="J726" s="47">
        <f>2000+500</f>
        <v>2500</v>
      </c>
      <c r="K726" s="47"/>
      <c r="L726" s="62">
        <f>H726+I726+J726+K726</f>
        <v>2500</v>
      </c>
      <c r="M726" s="47">
        <v>2000</v>
      </c>
      <c r="N726" s="47">
        <v>2000</v>
      </c>
      <c r="O726" s="244"/>
      <c r="P726" s="934"/>
    </row>
    <row r="727" spans="1:16" ht="15.75" customHeight="1" x14ac:dyDescent="0.25">
      <c r="A727" s="869"/>
      <c r="B727" s="22"/>
      <c r="C727" s="106" t="s">
        <v>215</v>
      </c>
      <c r="D727" s="106">
        <v>613300</v>
      </c>
      <c r="E727" s="118" t="s">
        <v>119</v>
      </c>
      <c r="F727" s="891">
        <f t="shared" ref="F727:K727" si="157">F728+F731</f>
        <v>793543</v>
      </c>
      <c r="G727" s="891">
        <f t="shared" si="157"/>
        <v>780000</v>
      </c>
      <c r="H727" s="877">
        <f t="shared" si="157"/>
        <v>3460</v>
      </c>
      <c r="I727" s="877">
        <f t="shared" si="157"/>
        <v>0</v>
      </c>
      <c r="J727" s="910">
        <f t="shared" si="157"/>
        <v>780000</v>
      </c>
      <c r="K727" s="877">
        <f t="shared" si="157"/>
        <v>0</v>
      </c>
      <c r="L727" s="910">
        <f t="shared" si="156"/>
        <v>783460</v>
      </c>
      <c r="M727" s="891">
        <f>M728+M731</f>
        <v>763700</v>
      </c>
      <c r="N727" s="891">
        <f>N728+N731</f>
        <v>763700</v>
      </c>
      <c r="O727" s="244"/>
      <c r="P727" s="934"/>
    </row>
    <row r="728" spans="1:16" ht="15.75" customHeight="1" x14ac:dyDescent="0.25">
      <c r="A728" s="869"/>
      <c r="B728" s="22"/>
      <c r="C728" s="874" t="s">
        <v>215</v>
      </c>
      <c r="D728" s="882">
        <v>613310</v>
      </c>
      <c r="E728" s="881" t="s">
        <v>675</v>
      </c>
      <c r="F728" s="876">
        <f t="shared" ref="F728:J728" si="158">F729+F730</f>
        <v>0</v>
      </c>
      <c r="G728" s="876">
        <f t="shared" si="158"/>
        <v>0</v>
      </c>
      <c r="H728" s="876">
        <f t="shared" si="158"/>
        <v>3460</v>
      </c>
      <c r="I728" s="876">
        <f t="shared" si="158"/>
        <v>0</v>
      </c>
      <c r="J728" s="885">
        <f t="shared" si="158"/>
        <v>0</v>
      </c>
      <c r="K728" s="876">
        <f>K729</f>
        <v>0</v>
      </c>
      <c r="L728" s="885">
        <f t="shared" si="156"/>
        <v>3460</v>
      </c>
      <c r="M728" s="876">
        <f>M729+M730</f>
        <v>3700</v>
      </c>
      <c r="N728" s="876">
        <f>N729+N730</f>
        <v>3700</v>
      </c>
      <c r="O728" s="244"/>
      <c r="P728" s="934"/>
    </row>
    <row r="729" spans="1:16" ht="15.75" customHeight="1" x14ac:dyDescent="0.25">
      <c r="A729" s="869"/>
      <c r="B729" s="22"/>
      <c r="C729" s="874" t="s">
        <v>215</v>
      </c>
      <c r="D729" s="882">
        <v>613311</v>
      </c>
      <c r="E729" s="915" t="s">
        <v>676</v>
      </c>
      <c r="F729" s="876"/>
      <c r="G729" s="876"/>
      <c r="H729" s="879">
        <v>2500</v>
      </c>
      <c r="I729" s="878"/>
      <c r="J729" s="879"/>
      <c r="K729" s="878"/>
      <c r="L729" s="885">
        <f t="shared" si="156"/>
        <v>2500</v>
      </c>
      <c r="M729" s="876">
        <v>2500</v>
      </c>
      <c r="N729" s="876">
        <v>2500</v>
      </c>
      <c r="O729" s="244"/>
      <c r="P729" s="934"/>
    </row>
    <row r="730" spans="1:16" ht="15.75" customHeight="1" x14ac:dyDescent="0.25">
      <c r="A730" s="869"/>
      <c r="B730" s="22"/>
      <c r="C730" s="874"/>
      <c r="D730" s="882">
        <v>613313</v>
      </c>
      <c r="E730" s="915" t="s">
        <v>677</v>
      </c>
      <c r="F730" s="876"/>
      <c r="G730" s="876"/>
      <c r="H730" s="911">
        <f>(50*12)*1+(30*12)*1</f>
        <v>960</v>
      </c>
      <c r="I730" s="878"/>
      <c r="J730" s="879"/>
      <c r="K730" s="878"/>
      <c r="L730" s="876">
        <f t="shared" si="156"/>
        <v>960</v>
      </c>
      <c r="M730" s="876">
        <v>1200</v>
      </c>
      <c r="N730" s="876">
        <v>1200</v>
      </c>
      <c r="O730" s="244"/>
      <c r="P730" s="934"/>
    </row>
    <row r="731" spans="1:16" ht="15.75" customHeight="1" x14ac:dyDescent="0.25">
      <c r="A731" s="869"/>
      <c r="B731" s="22"/>
      <c r="C731" s="37" t="s">
        <v>223</v>
      </c>
      <c r="D731" s="126">
        <v>613320</v>
      </c>
      <c r="E731" s="127" t="s">
        <v>678</v>
      </c>
      <c r="F731" s="114">
        <f t="shared" ref="F731:K731" si="159">F732</f>
        <v>793543</v>
      </c>
      <c r="G731" s="114">
        <f t="shared" si="159"/>
        <v>780000</v>
      </c>
      <c r="H731" s="261">
        <f t="shared" si="159"/>
        <v>0</v>
      </c>
      <c r="I731" s="261">
        <f t="shared" si="159"/>
        <v>0</v>
      </c>
      <c r="J731" s="599">
        <f t="shared" si="159"/>
        <v>780000</v>
      </c>
      <c r="K731" s="261">
        <f t="shared" si="159"/>
        <v>0</v>
      </c>
      <c r="L731" s="301">
        <f>H731+I731+J731+K731</f>
        <v>780000</v>
      </c>
      <c r="M731" s="114">
        <f>M732</f>
        <v>760000</v>
      </c>
      <c r="N731" s="114">
        <f>N732</f>
        <v>760000</v>
      </c>
      <c r="O731" s="244"/>
      <c r="P731" s="934"/>
    </row>
    <row r="732" spans="1:16" ht="15.75" customHeight="1" x14ac:dyDescent="0.25">
      <c r="A732" s="869"/>
      <c r="B732" s="22"/>
      <c r="C732" s="37" t="s">
        <v>223</v>
      </c>
      <c r="D732" s="52">
        <v>613329</v>
      </c>
      <c r="E732" s="49" t="s">
        <v>679</v>
      </c>
      <c r="F732" s="48">
        <f t="shared" ref="F732" si="160">F733+F734+F735</f>
        <v>793543</v>
      </c>
      <c r="G732" s="48">
        <f t="shared" ref="G732:K732" si="161">G733+G734+G735</f>
        <v>780000</v>
      </c>
      <c r="H732" s="48">
        <f t="shared" si="161"/>
        <v>0</v>
      </c>
      <c r="I732" s="48">
        <f t="shared" si="161"/>
        <v>0</v>
      </c>
      <c r="J732" s="300">
        <f>J733+J734+J735+J736</f>
        <v>780000</v>
      </c>
      <c r="K732" s="48">
        <f t="shared" si="161"/>
        <v>0</v>
      </c>
      <c r="L732" s="62">
        <f>H732+I732+J732+K732</f>
        <v>780000</v>
      </c>
      <c r="M732" s="48">
        <f>M733+M734+M735</f>
        <v>760000</v>
      </c>
      <c r="N732" s="48">
        <f>N733+N734+N735</f>
        <v>760000</v>
      </c>
      <c r="O732" s="244"/>
      <c r="P732" s="934"/>
    </row>
    <row r="733" spans="1:16" ht="15.75" customHeight="1" x14ac:dyDescent="0.25">
      <c r="A733" s="869"/>
      <c r="B733" s="22"/>
      <c r="C733" s="37" t="s">
        <v>223</v>
      </c>
      <c r="D733" s="52">
        <v>613329</v>
      </c>
      <c r="E733" s="49" t="s">
        <v>3</v>
      </c>
      <c r="F733" s="47">
        <v>680817</v>
      </c>
      <c r="G733" s="47">
        <f>730000+130000-150000</f>
        <v>710000</v>
      </c>
      <c r="H733" s="45"/>
      <c r="I733" s="45"/>
      <c r="J733" s="47">
        <f>710000</f>
        <v>710000</v>
      </c>
      <c r="K733" s="45"/>
      <c r="L733" s="62">
        <f>H733+I733+J733+K733</f>
        <v>710000</v>
      </c>
      <c r="M733" s="47">
        <f>730000+130000-150000</f>
        <v>710000</v>
      </c>
      <c r="N733" s="47">
        <f>730000+130000-150000</f>
        <v>710000</v>
      </c>
      <c r="O733" s="244"/>
      <c r="P733" s="934"/>
    </row>
    <row r="734" spans="1:16" ht="30.75" customHeight="1" x14ac:dyDescent="0.25">
      <c r="A734" s="869"/>
      <c r="B734" s="22"/>
      <c r="C734" s="37" t="s">
        <v>223</v>
      </c>
      <c r="D734" s="52">
        <v>613329</v>
      </c>
      <c r="E734" s="101" t="s">
        <v>76</v>
      </c>
      <c r="F734" s="47">
        <v>92722</v>
      </c>
      <c r="G734" s="47">
        <f>50000</f>
        <v>50000</v>
      </c>
      <c r="H734" s="45"/>
      <c r="I734" s="45"/>
      <c r="J734" s="47">
        <f>50000-20000</f>
        <v>30000</v>
      </c>
      <c r="K734" s="45"/>
      <c r="L734" s="62">
        <f>H734+I734+J734+K734</f>
        <v>30000</v>
      </c>
      <c r="M734" s="47">
        <f>50000-20000</f>
        <v>30000</v>
      </c>
      <c r="N734" s="879">
        <f>50000-20000</f>
        <v>30000</v>
      </c>
      <c r="O734" s="244"/>
      <c r="P734" s="934"/>
    </row>
    <row r="735" spans="1:16" ht="15.75" customHeight="1" x14ac:dyDescent="0.25">
      <c r="A735" s="869"/>
      <c r="B735" s="22"/>
      <c r="C735" s="37" t="s">
        <v>223</v>
      </c>
      <c r="D735" s="52">
        <v>613329</v>
      </c>
      <c r="E735" s="49" t="s">
        <v>4</v>
      </c>
      <c r="F735" s="45">
        <v>20004</v>
      </c>
      <c r="G735" s="45">
        <v>20000</v>
      </c>
      <c r="H735" s="45"/>
      <c r="I735" s="45"/>
      <c r="J735" s="47">
        <f>20000</f>
        <v>20000</v>
      </c>
      <c r="K735" s="45"/>
      <c r="L735" s="62">
        <f>H735+I735+J735+K735</f>
        <v>20000</v>
      </c>
      <c r="M735" s="45">
        <v>20000</v>
      </c>
      <c r="N735" s="45">
        <v>20000</v>
      </c>
      <c r="O735" s="244"/>
      <c r="P735" s="934"/>
    </row>
    <row r="736" spans="1:16" ht="15.75" customHeight="1" x14ac:dyDescent="0.25">
      <c r="A736" s="869"/>
      <c r="B736" s="22"/>
      <c r="C736" s="555" t="s">
        <v>223</v>
      </c>
      <c r="D736" s="990">
        <v>613329</v>
      </c>
      <c r="E736" s="925" t="s">
        <v>1171</v>
      </c>
      <c r="F736" s="878"/>
      <c r="G736" s="878"/>
      <c r="H736" s="878"/>
      <c r="I736" s="878"/>
      <c r="J736" s="879">
        <v>20000</v>
      </c>
      <c r="K736" s="878"/>
      <c r="L736" s="885"/>
      <c r="M736" s="878"/>
      <c r="N736" s="878"/>
      <c r="O736" s="244"/>
      <c r="P736" s="987"/>
    </row>
    <row r="737" spans="1:16" ht="30.75" customHeight="1" x14ac:dyDescent="0.25">
      <c r="A737" s="869"/>
      <c r="B737" s="22"/>
      <c r="C737" s="874" t="s">
        <v>215</v>
      </c>
      <c r="D737" s="874">
        <v>613400</v>
      </c>
      <c r="E737" s="904" t="s">
        <v>680</v>
      </c>
      <c r="F737" s="878"/>
      <c r="G737" s="878">
        <v>30000</v>
      </c>
      <c r="H737" s="879">
        <f>5000+H738</f>
        <v>5000</v>
      </c>
      <c r="I737" s="878"/>
      <c r="J737" s="879">
        <f>J738</f>
        <v>30000</v>
      </c>
      <c r="K737" s="878"/>
      <c r="L737" s="885">
        <f t="shared" si="156"/>
        <v>35000</v>
      </c>
      <c r="M737" s="878">
        <f>5000+30000</f>
        <v>35000</v>
      </c>
      <c r="N737" s="878">
        <f>5000+30000</f>
        <v>35000</v>
      </c>
      <c r="O737" s="244"/>
      <c r="P737" s="934"/>
    </row>
    <row r="738" spans="1:16" ht="30" customHeight="1" x14ac:dyDescent="0.25">
      <c r="A738" s="869"/>
      <c r="B738" s="22"/>
      <c r="C738" s="37"/>
      <c r="D738" s="37"/>
      <c r="E738" s="632" t="s">
        <v>636</v>
      </c>
      <c r="F738" s="45"/>
      <c r="G738" s="45">
        <v>30000</v>
      </c>
      <c r="H738" s="47">
        <f>60000-60000</f>
        <v>0</v>
      </c>
      <c r="I738" s="45"/>
      <c r="J738" s="47">
        <f>60000-30000</f>
        <v>30000</v>
      </c>
      <c r="K738" s="45"/>
      <c r="L738" s="62">
        <f>H738+I738+J738+K738</f>
        <v>30000</v>
      </c>
      <c r="M738" s="45">
        <v>30000</v>
      </c>
      <c r="N738" s="45">
        <v>30000</v>
      </c>
      <c r="O738" s="244"/>
      <c r="P738" s="934"/>
    </row>
    <row r="739" spans="1:16" ht="15" customHeight="1" x14ac:dyDescent="0.25">
      <c r="A739" s="869"/>
      <c r="B739" s="22"/>
      <c r="C739" s="37"/>
      <c r="D739" s="37">
        <v>613720</v>
      </c>
      <c r="E739" s="38" t="s">
        <v>681</v>
      </c>
      <c r="F739" s="83">
        <f t="shared" ref="F739:G739" si="162">F740+F742+F743+F744</f>
        <v>279209</v>
      </c>
      <c r="G739" s="83">
        <f t="shared" si="162"/>
        <v>697000</v>
      </c>
      <c r="H739" s="83">
        <f>H740+H742+H743</f>
        <v>0</v>
      </c>
      <c r="I739" s="83">
        <f>I740+I742+I743+I744</f>
        <v>0</v>
      </c>
      <c r="J739" s="83">
        <f>J740+J742+J743+J744+J745</f>
        <v>797000</v>
      </c>
      <c r="K739" s="891">
        <f t="shared" ref="K739:L739" si="163">K740+K742+K743+K744+K745</f>
        <v>70000</v>
      </c>
      <c r="L739" s="891">
        <f t="shared" si="163"/>
        <v>867000</v>
      </c>
      <c r="M739" s="83">
        <f t="shared" ref="M739:N739" si="164">M740+M742+M743+M744</f>
        <v>700000</v>
      </c>
      <c r="N739" s="83">
        <f t="shared" si="164"/>
        <v>700000</v>
      </c>
      <c r="O739" s="244"/>
      <c r="P739" s="934"/>
    </row>
    <row r="740" spans="1:16" ht="15.75" customHeight="1" x14ac:dyDescent="0.25">
      <c r="A740" s="869"/>
      <c r="B740" s="22"/>
      <c r="C740" s="37" t="s">
        <v>230</v>
      </c>
      <c r="D740" s="137">
        <v>613724</v>
      </c>
      <c r="E740" s="145" t="s">
        <v>682</v>
      </c>
      <c r="F740" s="53">
        <v>150537</v>
      </c>
      <c r="G740" s="53">
        <f>376350+153650</f>
        <v>530000</v>
      </c>
      <c r="H740" s="45"/>
      <c r="I740" s="45"/>
      <c r="J740" s="47">
        <f>376350+153650+70000</f>
        <v>600000</v>
      </c>
      <c r="K740" s="45"/>
      <c r="L740" s="62">
        <f t="shared" ref="L740:L745" si="165">H740+I740+J740+K740</f>
        <v>600000</v>
      </c>
      <c r="M740" s="53">
        <f>376350+153650+3000</f>
        <v>533000</v>
      </c>
      <c r="N740" s="53">
        <f>376350+153650</f>
        <v>530000</v>
      </c>
      <c r="O740" s="244"/>
      <c r="P740" s="934"/>
    </row>
    <row r="741" spans="1:16" ht="15.75" customHeight="1" x14ac:dyDescent="0.25">
      <c r="A741" s="869"/>
      <c r="B741" s="22"/>
      <c r="C741" s="37"/>
      <c r="D741" s="137"/>
      <c r="E741" s="145" t="s">
        <v>299</v>
      </c>
      <c r="F741" s="53"/>
      <c r="G741" s="53">
        <f>20000+30000</f>
        <v>50000</v>
      </c>
      <c r="H741" s="45"/>
      <c r="I741" s="45"/>
      <c r="J741" s="47">
        <f>20000+30000</f>
        <v>50000</v>
      </c>
      <c r="K741" s="45"/>
      <c r="L741" s="62">
        <f t="shared" si="165"/>
        <v>50000</v>
      </c>
      <c r="M741" s="53">
        <f>20000+30000</f>
        <v>50000</v>
      </c>
      <c r="N741" s="53">
        <f>20000+30000</f>
        <v>50000</v>
      </c>
      <c r="O741" s="244"/>
      <c r="P741" s="934"/>
    </row>
    <row r="742" spans="1:16" ht="15.75" customHeight="1" x14ac:dyDescent="0.25">
      <c r="A742" s="869"/>
      <c r="B742" s="22"/>
      <c r="C742" s="37" t="s">
        <v>229</v>
      </c>
      <c r="D742" s="52">
        <v>613726</v>
      </c>
      <c r="E742" s="49" t="s">
        <v>683</v>
      </c>
      <c r="F742" s="50">
        <v>123672</v>
      </c>
      <c r="G742" s="50">
        <v>150000</v>
      </c>
      <c r="H742" s="45"/>
      <c r="I742" s="45"/>
      <c r="J742" s="47">
        <f>170000-20000</f>
        <v>150000</v>
      </c>
      <c r="K742" s="45"/>
      <c r="L742" s="39">
        <f t="shared" si="165"/>
        <v>150000</v>
      </c>
      <c r="M742" s="50">
        <v>150000</v>
      </c>
      <c r="N742" s="50">
        <v>150000</v>
      </c>
      <c r="O742" s="244"/>
      <c r="P742" s="934"/>
    </row>
    <row r="743" spans="1:16" ht="34.5" customHeight="1" x14ac:dyDescent="0.25">
      <c r="A743" s="869"/>
      <c r="B743" s="22"/>
      <c r="C743" s="100" t="s">
        <v>230</v>
      </c>
      <c r="D743" s="273">
        <v>613727</v>
      </c>
      <c r="E743" s="101" t="s">
        <v>684</v>
      </c>
      <c r="F743" s="349"/>
      <c r="G743" s="349">
        <f>50000-25000-10000</f>
        <v>15000</v>
      </c>
      <c r="H743" s="300"/>
      <c r="I743" s="300"/>
      <c r="J743" s="300">
        <v>15000</v>
      </c>
      <c r="K743" s="300"/>
      <c r="L743" s="62">
        <f t="shared" si="165"/>
        <v>15000</v>
      </c>
      <c r="M743" s="349">
        <f>50000-25000-10000</f>
        <v>15000</v>
      </c>
      <c r="N743" s="349">
        <f>50000-25000-10000</f>
        <v>15000</v>
      </c>
      <c r="O743" s="244"/>
      <c r="P743" s="934"/>
    </row>
    <row r="744" spans="1:16" ht="30.75" customHeight="1" x14ac:dyDescent="0.25">
      <c r="A744" s="869"/>
      <c r="B744" s="22"/>
      <c r="C744" s="100" t="s">
        <v>230</v>
      </c>
      <c r="D744" s="273">
        <v>613727</v>
      </c>
      <c r="E744" s="101" t="s">
        <v>1172</v>
      </c>
      <c r="F744" s="349">
        <v>5000</v>
      </c>
      <c r="G744" s="349">
        <f>5000-3000</f>
        <v>2000</v>
      </c>
      <c r="H744" s="300"/>
      <c r="I744" s="300"/>
      <c r="J744" s="300">
        <f>5000-3000</f>
        <v>2000</v>
      </c>
      <c r="K744" s="300"/>
      <c r="L744" s="62">
        <f t="shared" si="165"/>
        <v>2000</v>
      </c>
      <c r="M744" s="349">
        <f>5000-3000</f>
        <v>2000</v>
      </c>
      <c r="N744" s="349">
        <v>5000</v>
      </c>
      <c r="O744" s="244"/>
      <c r="P744" s="934"/>
    </row>
    <row r="745" spans="1:16" ht="18.75" customHeight="1" x14ac:dyDescent="0.25">
      <c r="A745" s="869"/>
      <c r="B745" s="22"/>
      <c r="C745" s="555" t="s">
        <v>230</v>
      </c>
      <c r="D745" s="990">
        <v>613727</v>
      </c>
      <c r="E745" s="925" t="s">
        <v>1227</v>
      </c>
      <c r="F745" s="955"/>
      <c r="G745" s="955"/>
      <c r="H745" s="1013"/>
      <c r="I745" s="1013"/>
      <c r="J745" s="1013">
        <v>30000</v>
      </c>
      <c r="K745" s="1013">
        <v>70000</v>
      </c>
      <c r="L745" s="918">
        <f t="shared" si="165"/>
        <v>100000</v>
      </c>
      <c r="M745" s="955"/>
      <c r="N745" s="955"/>
      <c r="O745" s="244"/>
      <c r="P745" s="1009"/>
    </row>
    <row r="746" spans="1:16" ht="15.75" customHeight="1" x14ac:dyDescent="0.25">
      <c r="A746" s="869"/>
      <c r="B746" s="22"/>
      <c r="C746" s="874" t="s">
        <v>215</v>
      </c>
      <c r="D746" s="874">
        <v>613900</v>
      </c>
      <c r="E746" s="875" t="s">
        <v>293</v>
      </c>
      <c r="F746" s="910">
        <f>F747+F748+F749+F750</f>
        <v>0</v>
      </c>
      <c r="G746" s="910">
        <f>G747+G748+G749+G750</f>
        <v>6000</v>
      </c>
      <c r="H746" s="46">
        <f>H747+H748+H749+H750</f>
        <v>7900</v>
      </c>
      <c r="I746" s="46">
        <f>I747+I748</f>
        <v>0</v>
      </c>
      <c r="J746" s="46">
        <f>J747+J748</f>
        <v>0</v>
      </c>
      <c r="K746" s="46">
        <f>K747+K748</f>
        <v>0</v>
      </c>
      <c r="L746" s="910">
        <f t="shared" ref="L746:L748" si="166">H746+I746+J746+K746</f>
        <v>7900</v>
      </c>
      <c r="M746" s="910">
        <f>M747+M748+M749+M750</f>
        <v>6900</v>
      </c>
      <c r="N746" s="910">
        <f>N747+N748+N749+N750</f>
        <v>6900</v>
      </c>
      <c r="O746" s="244"/>
      <c r="P746" s="934"/>
    </row>
    <row r="747" spans="1:16" ht="15.75" customHeight="1" x14ac:dyDescent="0.25">
      <c r="A747" s="869"/>
      <c r="B747" s="22"/>
      <c r="C747" s="874" t="s">
        <v>215</v>
      </c>
      <c r="D747" s="874">
        <v>613914</v>
      </c>
      <c r="E747" s="915" t="s">
        <v>685</v>
      </c>
      <c r="F747" s="879"/>
      <c r="G747" s="879"/>
      <c r="H747" s="880">
        <v>1000</v>
      </c>
      <c r="I747" s="46"/>
      <c r="J747" s="567"/>
      <c r="K747" s="46"/>
      <c r="L747" s="885">
        <f t="shared" si="166"/>
        <v>1000</v>
      </c>
      <c r="M747" s="879">
        <v>1000</v>
      </c>
      <c r="N747" s="879">
        <v>1000</v>
      </c>
      <c r="O747" s="244"/>
      <c r="P747" s="934"/>
    </row>
    <row r="748" spans="1:16" ht="30.75" customHeight="1" x14ac:dyDescent="0.25">
      <c r="A748" s="869"/>
      <c r="B748" s="22"/>
      <c r="C748" s="874" t="s">
        <v>215</v>
      </c>
      <c r="D748" s="874">
        <v>613920</v>
      </c>
      <c r="E748" s="892" t="s">
        <v>686</v>
      </c>
      <c r="F748" s="878"/>
      <c r="G748" s="878"/>
      <c r="H748" s="879">
        <v>900</v>
      </c>
      <c r="I748" s="878"/>
      <c r="J748" s="879"/>
      <c r="K748" s="878"/>
      <c r="L748" s="885">
        <f t="shared" si="166"/>
        <v>900</v>
      </c>
      <c r="M748" s="878">
        <f>1000-100</f>
        <v>900</v>
      </c>
      <c r="N748" s="878">
        <f>1000-100</f>
        <v>900</v>
      </c>
      <c r="O748" s="244"/>
      <c r="P748" s="934"/>
    </row>
    <row r="749" spans="1:16" ht="45.75" customHeight="1" x14ac:dyDescent="0.25">
      <c r="A749" s="869"/>
      <c r="B749" s="22"/>
      <c r="C749" s="335" t="s">
        <v>223</v>
      </c>
      <c r="D749" s="100">
        <v>613991</v>
      </c>
      <c r="E749" s="150" t="s">
        <v>687</v>
      </c>
      <c r="F749" s="47"/>
      <c r="G749" s="47">
        <f>10000-5000</f>
        <v>5000</v>
      </c>
      <c r="H749" s="47">
        <f>10000-5000</f>
        <v>5000</v>
      </c>
      <c r="I749" s="47"/>
      <c r="J749" s="47"/>
      <c r="K749" s="47"/>
      <c r="L749" s="62">
        <f>H749+I749+J749+K749</f>
        <v>5000</v>
      </c>
      <c r="M749" s="47">
        <f>10000-5000</f>
        <v>5000</v>
      </c>
      <c r="N749" s="47">
        <f>10000-5000</f>
        <v>5000</v>
      </c>
      <c r="O749" s="244"/>
      <c r="P749" s="934"/>
    </row>
    <row r="750" spans="1:16" ht="49.5" customHeight="1" x14ac:dyDescent="0.25">
      <c r="A750" s="869"/>
      <c r="B750" s="22"/>
      <c r="C750" s="335" t="s">
        <v>223</v>
      </c>
      <c r="D750" s="100">
        <v>613991</v>
      </c>
      <c r="E750" s="150" t="s">
        <v>688</v>
      </c>
      <c r="F750" s="47"/>
      <c r="G750" s="47">
        <v>1000</v>
      </c>
      <c r="H750" s="47">
        <f>10000-9000</f>
        <v>1000</v>
      </c>
      <c r="I750" s="47"/>
      <c r="J750" s="47"/>
      <c r="K750" s="47"/>
      <c r="L750" s="47">
        <f>H750+I750+J750+K750</f>
        <v>1000</v>
      </c>
      <c r="M750" s="47"/>
      <c r="N750" s="47"/>
      <c r="O750" s="244"/>
      <c r="P750" s="934"/>
    </row>
    <row r="751" spans="1:16" ht="15.75" customHeight="1" x14ac:dyDescent="0.25">
      <c r="A751" s="869"/>
      <c r="B751" s="22"/>
      <c r="C751" s="870"/>
      <c r="D751" s="870">
        <v>613000</v>
      </c>
      <c r="E751" s="883" t="s">
        <v>15</v>
      </c>
      <c r="F751" s="496">
        <f>F723+F724+F727+F737+F739+F746</f>
        <v>1630658</v>
      </c>
      <c r="G751" s="496">
        <f>G723+G724+G727+G737+G739+G746</f>
        <v>2015500</v>
      </c>
      <c r="H751" s="496">
        <f>H723+H724+H727+H737+H739+H746</f>
        <v>17560</v>
      </c>
      <c r="I751" s="496">
        <f t="shared" ref="I751:N751" si="167">I723+I724+I727+I737+I739+I746</f>
        <v>0</v>
      </c>
      <c r="J751" s="496">
        <f t="shared" si="167"/>
        <v>2189500</v>
      </c>
      <c r="K751" s="496">
        <f t="shared" si="167"/>
        <v>70000</v>
      </c>
      <c r="L751" s="496">
        <f t="shared" si="167"/>
        <v>2277060</v>
      </c>
      <c r="M751" s="496">
        <f t="shared" si="167"/>
        <v>2008800</v>
      </c>
      <c r="N751" s="496">
        <f t="shared" si="167"/>
        <v>2008800</v>
      </c>
      <c r="O751" s="244"/>
      <c r="P751" s="934"/>
    </row>
    <row r="752" spans="1:16" ht="15.75" customHeight="1" x14ac:dyDescent="0.25">
      <c r="O752" s="244"/>
      <c r="P752" s="934"/>
    </row>
    <row r="753" spans="1:16" ht="15.75" customHeight="1" x14ac:dyDescent="0.25">
      <c r="A753" s="701"/>
      <c r="B753" s="291"/>
      <c r="C753" s="137" t="s">
        <v>223</v>
      </c>
      <c r="D753" s="874">
        <v>614417</v>
      </c>
      <c r="E753" s="350" t="s">
        <v>407</v>
      </c>
      <c r="F753" s="140"/>
      <c r="G753" s="140"/>
      <c r="H753" s="668">
        <f>20000+4000</f>
        <v>24000</v>
      </c>
      <c r="I753" s="854"/>
      <c r="J753" s="854"/>
      <c r="K753" s="854"/>
      <c r="L753" s="553">
        <f t="shared" ref="L753:L754" si="168">H753+I753+J753+K753</f>
        <v>24000</v>
      </c>
      <c r="M753" s="866">
        <f>20000+4000</f>
        <v>24000</v>
      </c>
      <c r="N753" s="866">
        <f>20000+4000</f>
        <v>24000</v>
      </c>
      <c r="O753" s="244"/>
      <c r="P753" s="934"/>
    </row>
    <row r="754" spans="1:16" ht="15.75" customHeight="1" x14ac:dyDescent="0.25">
      <c r="A754" s="701"/>
      <c r="B754" s="291"/>
      <c r="C754" s="348" t="s">
        <v>874</v>
      </c>
      <c r="D754" s="274">
        <v>614511</v>
      </c>
      <c r="E754" s="728" t="s">
        <v>880</v>
      </c>
      <c r="F754" s="117"/>
      <c r="G754" s="117"/>
      <c r="H754" s="241">
        <v>200000</v>
      </c>
      <c r="I754" s="729"/>
      <c r="J754" s="729"/>
      <c r="K754" s="729"/>
      <c r="L754" s="62">
        <f t="shared" si="168"/>
        <v>200000</v>
      </c>
      <c r="M754" s="117"/>
      <c r="N754" s="117"/>
      <c r="O754" s="244"/>
      <c r="P754" s="934"/>
    </row>
    <row r="755" spans="1:16" ht="33" customHeight="1" x14ac:dyDescent="0.25">
      <c r="C755" s="898" t="s">
        <v>215</v>
      </c>
      <c r="D755" s="898">
        <v>614811</v>
      </c>
      <c r="E755" s="904" t="s">
        <v>339</v>
      </c>
      <c r="F755" s="110"/>
      <c r="G755" s="110"/>
      <c r="H755" s="885">
        <v>1000</v>
      </c>
      <c r="I755" s="885"/>
      <c r="J755" s="885"/>
      <c r="K755" s="885"/>
      <c r="L755" s="885">
        <f>H755+I755+J755+K755</f>
        <v>1000</v>
      </c>
      <c r="M755" s="110">
        <v>1000</v>
      </c>
      <c r="N755" s="110">
        <v>1000</v>
      </c>
      <c r="O755" s="244"/>
      <c r="P755" s="934"/>
    </row>
    <row r="756" spans="1:16" ht="15.75" customHeight="1" x14ac:dyDescent="0.25">
      <c r="C756" s="54"/>
      <c r="D756" s="870">
        <v>614000</v>
      </c>
      <c r="E756" s="883" t="s">
        <v>23</v>
      </c>
      <c r="F756" s="896">
        <f>F753+F754+F755</f>
        <v>0</v>
      </c>
      <c r="G756" s="896">
        <f t="shared" ref="G756:N756" si="169">G753+G754+G755</f>
        <v>0</v>
      </c>
      <c r="H756" s="896">
        <f t="shared" si="169"/>
        <v>225000</v>
      </c>
      <c r="I756" s="896">
        <f t="shared" si="169"/>
        <v>0</v>
      </c>
      <c r="J756" s="896">
        <f t="shared" si="169"/>
        <v>0</v>
      </c>
      <c r="K756" s="896">
        <f t="shared" si="169"/>
        <v>0</v>
      </c>
      <c r="L756" s="896">
        <f t="shared" si="169"/>
        <v>225000</v>
      </c>
      <c r="M756" s="896">
        <f t="shared" si="169"/>
        <v>25000</v>
      </c>
      <c r="N756" s="896">
        <f t="shared" si="169"/>
        <v>25000</v>
      </c>
      <c r="O756" s="244"/>
      <c r="P756" s="934"/>
    </row>
    <row r="757" spans="1:16" ht="15.75" customHeight="1" x14ac:dyDescent="0.25">
      <c r="C757" s="898"/>
      <c r="D757" s="684"/>
      <c r="E757" s="373"/>
      <c r="F757" s="685"/>
      <c r="G757" s="685"/>
      <c r="H757" s="685"/>
      <c r="I757" s="685"/>
      <c r="J757" s="685"/>
      <c r="K757" s="685"/>
      <c r="L757" s="685"/>
      <c r="M757" s="685"/>
      <c r="N757" s="685"/>
      <c r="O757" s="244"/>
      <c r="P757" s="934"/>
    </row>
    <row r="758" spans="1:16" ht="15.75" customHeight="1" x14ac:dyDescent="0.25">
      <c r="A758" s="16"/>
      <c r="B758" s="732"/>
      <c r="C758" s="106" t="s">
        <v>232</v>
      </c>
      <c r="D758" s="106">
        <v>615311</v>
      </c>
      <c r="E758" s="456" t="s">
        <v>696</v>
      </c>
      <c r="F758" s="877">
        <f>F759+F760+F761+F762+F763+F764+F765</f>
        <v>0</v>
      </c>
      <c r="G758" s="877">
        <f>G759+G760+G761+G762+G763+G764+G765</f>
        <v>0</v>
      </c>
      <c r="H758" s="877">
        <f>H759+H760+H761+H762+H763</f>
        <v>0</v>
      </c>
      <c r="I758" s="877">
        <f>I759+I760+I761+I762+I763</f>
        <v>0</v>
      </c>
      <c r="J758" s="910">
        <f>J759+J760+J761+J762+J763+J764+J765</f>
        <v>0</v>
      </c>
      <c r="K758" s="877">
        <f>K759+K760+K761+K762+K763</f>
        <v>0</v>
      </c>
      <c r="L758" s="877">
        <f t="shared" ref="L758:L765" si="170">H758+I758+J758+K758</f>
        <v>0</v>
      </c>
      <c r="M758" s="877">
        <f>M759+M760+M761+M762+M763+M764+M765</f>
        <v>0</v>
      </c>
      <c r="N758" s="877">
        <f>N759+N760+N761+N762+N763+N764+N765</f>
        <v>0</v>
      </c>
      <c r="O758" s="244"/>
      <c r="P758" s="934"/>
    </row>
    <row r="759" spans="1:16" ht="15.75" customHeight="1" x14ac:dyDescent="0.25">
      <c r="A759" s="869"/>
      <c r="B759" s="22"/>
      <c r="C759" s="874" t="s">
        <v>232</v>
      </c>
      <c r="D759" s="128"/>
      <c r="E759" s="899" t="s">
        <v>697</v>
      </c>
      <c r="F759" s="876"/>
      <c r="G759" s="876"/>
      <c r="H759" s="878"/>
      <c r="I759" s="878"/>
      <c r="J759" s="879"/>
      <c r="K759" s="878"/>
      <c r="L759" s="876">
        <f t="shared" si="170"/>
        <v>0</v>
      </c>
      <c r="M759" s="876"/>
      <c r="N759" s="876"/>
      <c r="O759" s="244"/>
      <c r="P759" s="934"/>
    </row>
    <row r="760" spans="1:16" ht="15.75" customHeight="1" x14ac:dyDescent="0.25">
      <c r="A760" s="869"/>
      <c r="B760" s="22"/>
      <c r="C760" s="874" t="s">
        <v>232</v>
      </c>
      <c r="D760" s="128"/>
      <c r="E760" s="899" t="s">
        <v>698</v>
      </c>
      <c r="F760" s="885"/>
      <c r="G760" s="885"/>
      <c r="H760" s="878"/>
      <c r="I760" s="878"/>
      <c r="J760" s="879"/>
      <c r="K760" s="878"/>
      <c r="L760" s="876">
        <f t="shared" si="170"/>
        <v>0</v>
      </c>
      <c r="M760" s="885"/>
      <c r="N760" s="885"/>
      <c r="O760" s="244"/>
      <c r="P760" s="934"/>
    </row>
    <row r="761" spans="1:16" ht="15.75" customHeight="1" x14ac:dyDescent="0.25">
      <c r="A761" s="869"/>
      <c r="B761" s="22"/>
      <c r="C761" s="874" t="s">
        <v>232</v>
      </c>
      <c r="D761" s="128"/>
      <c r="E761" s="899" t="s">
        <v>699</v>
      </c>
      <c r="F761" s="876"/>
      <c r="G761" s="876"/>
      <c r="H761" s="878"/>
      <c r="I761" s="878"/>
      <c r="J761" s="879"/>
      <c r="K761" s="878"/>
      <c r="L761" s="876">
        <f t="shared" si="170"/>
        <v>0</v>
      </c>
      <c r="M761" s="876"/>
      <c r="N761" s="758"/>
      <c r="O761" s="244"/>
      <c r="P761" s="934"/>
    </row>
    <row r="762" spans="1:16" ht="15.75" customHeight="1" x14ac:dyDescent="0.25">
      <c r="A762" s="869"/>
      <c r="B762" s="22"/>
      <c r="C762" s="874" t="s">
        <v>232</v>
      </c>
      <c r="D762" s="128"/>
      <c r="E762" s="899" t="s">
        <v>700</v>
      </c>
      <c r="F762" s="876"/>
      <c r="G762" s="876"/>
      <c r="H762" s="878"/>
      <c r="I762" s="878"/>
      <c r="J762" s="879"/>
      <c r="K762" s="878"/>
      <c r="L762" s="876">
        <f t="shared" si="170"/>
        <v>0</v>
      </c>
      <c r="M762" s="876"/>
      <c r="N762" s="758"/>
      <c r="O762" s="244"/>
      <c r="P762" s="934"/>
    </row>
    <row r="763" spans="1:16" ht="15.75" customHeight="1" x14ac:dyDescent="0.25">
      <c r="A763" s="869"/>
      <c r="B763" s="22"/>
      <c r="C763" s="874" t="s">
        <v>232</v>
      </c>
      <c r="D763" s="128"/>
      <c r="E763" s="899" t="s">
        <v>701</v>
      </c>
      <c r="F763" s="876"/>
      <c r="G763" s="876"/>
      <c r="H763" s="878"/>
      <c r="I763" s="878"/>
      <c r="J763" s="879"/>
      <c r="K763" s="878"/>
      <c r="L763" s="876">
        <f t="shared" si="170"/>
        <v>0</v>
      </c>
      <c r="M763" s="876"/>
      <c r="N763" s="758"/>
      <c r="O763" s="244"/>
      <c r="P763" s="934"/>
    </row>
    <row r="764" spans="1:16" ht="30.75" x14ac:dyDescent="0.25">
      <c r="A764" s="869"/>
      <c r="B764" s="22"/>
      <c r="C764" s="874"/>
      <c r="D764" s="128"/>
      <c r="E764" s="899" t="s">
        <v>702</v>
      </c>
      <c r="F764" s="885"/>
      <c r="G764" s="885"/>
      <c r="H764" s="879"/>
      <c r="I764" s="879"/>
      <c r="J764" s="879"/>
      <c r="K764" s="879"/>
      <c r="L764" s="885">
        <f t="shared" si="170"/>
        <v>0</v>
      </c>
      <c r="M764" s="885"/>
      <c r="N764" s="885"/>
      <c r="O764" s="244"/>
      <c r="P764" s="934"/>
    </row>
    <row r="765" spans="1:16" ht="30.75" x14ac:dyDescent="0.25">
      <c r="A765" s="869"/>
      <c r="B765" s="22"/>
      <c r="C765" s="898" t="s">
        <v>232</v>
      </c>
      <c r="D765" s="141"/>
      <c r="E765" s="899" t="s">
        <v>703</v>
      </c>
      <c r="F765" s="885"/>
      <c r="G765" s="885"/>
      <c r="H765" s="879"/>
      <c r="I765" s="879"/>
      <c r="J765" s="879"/>
      <c r="K765" s="879"/>
      <c r="L765" s="885">
        <f t="shared" si="170"/>
        <v>0</v>
      </c>
      <c r="M765" s="885"/>
      <c r="N765" s="885"/>
      <c r="O765" s="244"/>
      <c r="P765" s="934"/>
    </row>
    <row r="766" spans="1:16" ht="48" customHeight="1" x14ac:dyDescent="0.25">
      <c r="A766" s="869"/>
      <c r="B766" s="22"/>
      <c r="C766" s="37" t="s">
        <v>228</v>
      </c>
      <c r="D766" s="146">
        <v>615411</v>
      </c>
      <c r="E766" s="578" t="s">
        <v>997</v>
      </c>
      <c r="F766" s="62">
        <v>100000</v>
      </c>
      <c r="G766" s="62">
        <v>50000</v>
      </c>
      <c r="H766" s="45"/>
      <c r="I766" s="45"/>
      <c r="J766" s="47">
        <f>200000-100000-50000</f>
        <v>50000</v>
      </c>
      <c r="K766" s="45"/>
      <c r="L766" s="39">
        <f>H766+I766+J766+K766</f>
        <v>50000</v>
      </c>
      <c r="M766" s="62">
        <f>100000-100000</f>
        <v>0</v>
      </c>
      <c r="N766" s="39"/>
      <c r="O766" s="244"/>
      <c r="P766" s="934"/>
    </row>
    <row r="767" spans="1:16" ht="60" x14ac:dyDescent="0.25">
      <c r="A767" s="869"/>
      <c r="B767" s="22"/>
      <c r="C767" s="109" t="s">
        <v>227</v>
      </c>
      <c r="D767" s="146">
        <v>615411</v>
      </c>
      <c r="E767" s="147" t="s">
        <v>998</v>
      </c>
      <c r="F767" s="62">
        <v>20000</v>
      </c>
      <c r="G767" s="62">
        <v>150000</v>
      </c>
      <c r="H767" s="45"/>
      <c r="I767" s="45"/>
      <c r="J767" s="47">
        <f>70000+80000</f>
        <v>150000</v>
      </c>
      <c r="K767" s="45"/>
      <c r="L767" s="39">
        <f>H767+I767+J767+K767</f>
        <v>150000</v>
      </c>
      <c r="M767" s="62">
        <v>150000</v>
      </c>
      <c r="N767" s="62">
        <v>150000</v>
      </c>
      <c r="O767" s="244"/>
      <c r="P767" s="934"/>
    </row>
    <row r="768" spans="1:16" ht="15.75" customHeight="1" x14ac:dyDescent="0.25">
      <c r="A768" s="869"/>
      <c r="B768" s="22"/>
      <c r="C768" s="870"/>
      <c r="D768" s="143">
        <v>615000</v>
      </c>
      <c r="E768" s="459" t="s">
        <v>370</v>
      </c>
      <c r="F768" s="912">
        <f>F758+F766+F767</f>
        <v>120000</v>
      </c>
      <c r="G768" s="912">
        <f t="shared" ref="G768:N768" si="171">G758+G766+G767</f>
        <v>200000</v>
      </c>
      <c r="H768" s="912">
        <f t="shared" si="171"/>
        <v>0</v>
      </c>
      <c r="I768" s="912">
        <f t="shared" si="171"/>
        <v>0</v>
      </c>
      <c r="J768" s="912">
        <f t="shared" si="171"/>
        <v>200000</v>
      </c>
      <c r="K768" s="912">
        <f t="shared" si="171"/>
        <v>0</v>
      </c>
      <c r="L768" s="912">
        <f t="shared" si="171"/>
        <v>200000</v>
      </c>
      <c r="M768" s="912">
        <f t="shared" si="171"/>
        <v>150000</v>
      </c>
      <c r="N768" s="912">
        <f t="shared" si="171"/>
        <v>150000</v>
      </c>
      <c r="O768" s="244"/>
      <c r="P768" s="934"/>
    </row>
    <row r="769" spans="1:16" ht="15.75" customHeight="1" x14ac:dyDescent="0.25">
      <c r="A769" s="869"/>
      <c r="B769" s="22"/>
      <c r="C769" s="243"/>
      <c r="D769" s="475"/>
      <c r="E769" s="476"/>
      <c r="F769" s="906"/>
      <c r="G769" s="906"/>
      <c r="H769" s="906"/>
      <c r="I769" s="906"/>
      <c r="J769" s="906"/>
      <c r="K769" s="906"/>
      <c r="L769" s="566"/>
      <c r="M769" s="906"/>
      <c r="N769" s="906"/>
      <c r="O769" s="244"/>
      <c r="P769" s="934"/>
    </row>
    <row r="770" spans="1:16" ht="15.75" customHeight="1" x14ac:dyDescent="0.25">
      <c r="A770" s="869"/>
      <c r="B770" s="22"/>
      <c r="C770" s="335" t="s">
        <v>230</v>
      </c>
      <c r="D770" s="109">
        <v>821211</v>
      </c>
      <c r="E770" s="139" t="s">
        <v>404</v>
      </c>
      <c r="F770" s="885"/>
      <c r="G770" s="885"/>
      <c r="H770" s="876"/>
      <c r="I770" s="876"/>
      <c r="J770" s="885"/>
      <c r="K770" s="876"/>
      <c r="L770" s="885">
        <f t="shared" ref="L770:L771" si="172">H770+I770+J770+K770</f>
        <v>0</v>
      </c>
      <c r="M770" s="885"/>
      <c r="N770" s="885"/>
      <c r="O770" s="244"/>
      <c r="P770" s="934"/>
    </row>
    <row r="771" spans="1:16" ht="35.25" customHeight="1" x14ac:dyDescent="0.25">
      <c r="A771" s="869"/>
      <c r="B771" s="22"/>
      <c r="C771" s="936" t="s">
        <v>553</v>
      </c>
      <c r="D771" s="936">
        <v>821300</v>
      </c>
      <c r="E771" s="937" t="s">
        <v>999</v>
      </c>
      <c r="F771" s="921"/>
      <c r="G771" s="921"/>
      <c r="H771" s="922">
        <f>5000+10000</f>
        <v>15000</v>
      </c>
      <c r="I771" s="922"/>
      <c r="J771" s="922"/>
      <c r="K771" s="922"/>
      <c r="L771" s="921">
        <f t="shared" si="172"/>
        <v>15000</v>
      </c>
      <c r="M771" s="921"/>
      <c r="N771" s="921"/>
      <c r="O771" s="244"/>
      <c r="P771" s="934"/>
    </row>
    <row r="772" spans="1:16" ht="31.5" customHeight="1" x14ac:dyDescent="0.25">
      <c r="A772" s="869"/>
      <c r="B772" s="22"/>
      <c r="C772" s="37" t="s">
        <v>389</v>
      </c>
      <c r="D772" s="37">
        <v>821410</v>
      </c>
      <c r="E772" s="275" t="s">
        <v>642</v>
      </c>
      <c r="F772" s="62"/>
      <c r="G772" s="62">
        <v>60000</v>
      </c>
      <c r="H772" s="62"/>
      <c r="I772" s="39"/>
      <c r="J772" s="62">
        <f>20000+40000</f>
        <v>60000</v>
      </c>
      <c r="K772" s="39"/>
      <c r="L772" s="62">
        <f>H772+I772+J772+K772</f>
        <v>60000</v>
      </c>
      <c r="M772" s="62">
        <v>20000</v>
      </c>
      <c r="N772" s="62">
        <v>20000</v>
      </c>
      <c r="O772" s="244"/>
      <c r="P772" s="934"/>
    </row>
    <row r="773" spans="1:16" ht="29.25" customHeight="1" x14ac:dyDescent="0.25">
      <c r="A773" s="869"/>
      <c r="B773" s="22"/>
      <c r="C773" s="37" t="s">
        <v>389</v>
      </c>
      <c r="D773" s="37">
        <v>821220</v>
      </c>
      <c r="E773" s="275" t="s">
        <v>643</v>
      </c>
      <c r="F773" s="62"/>
      <c r="G773" s="62">
        <v>20000</v>
      </c>
      <c r="H773" s="62"/>
      <c r="I773" s="39"/>
      <c r="J773" s="62">
        <v>20000</v>
      </c>
      <c r="K773" s="39"/>
      <c r="L773" s="62">
        <f>H773+I773+J773+K773</f>
        <v>20000</v>
      </c>
      <c r="M773" s="62">
        <v>20000</v>
      </c>
      <c r="N773" s="62">
        <v>20000</v>
      </c>
      <c r="O773" s="244"/>
      <c r="P773" s="934"/>
    </row>
    <row r="774" spans="1:16" ht="30.75" customHeight="1" x14ac:dyDescent="0.25">
      <c r="A774" s="869"/>
      <c r="B774" s="22"/>
      <c r="C774" s="109" t="s">
        <v>227</v>
      </c>
      <c r="D774" s="575">
        <v>821600</v>
      </c>
      <c r="E774" s="150" t="s">
        <v>644</v>
      </c>
      <c r="F774" s="62"/>
      <c r="G774" s="62">
        <v>113000</v>
      </c>
      <c r="H774" s="47"/>
      <c r="I774" s="45"/>
      <c r="J774" s="47"/>
      <c r="K774" s="45">
        <v>113000</v>
      </c>
      <c r="L774" s="62">
        <f>H774+I774+J774+K774</f>
        <v>113000</v>
      </c>
      <c r="M774" s="62"/>
      <c r="N774" s="62"/>
      <c r="O774" s="244"/>
      <c r="P774" s="934"/>
    </row>
    <row r="775" spans="1:16" ht="30" customHeight="1" x14ac:dyDescent="0.25">
      <c r="A775" s="869"/>
      <c r="B775" s="22"/>
      <c r="C775" s="109" t="s">
        <v>553</v>
      </c>
      <c r="D775" s="575">
        <v>821622</v>
      </c>
      <c r="E775" s="150" t="s">
        <v>647</v>
      </c>
      <c r="F775" s="62"/>
      <c r="G775" s="62">
        <v>15000</v>
      </c>
      <c r="H775" s="47"/>
      <c r="I775" s="45"/>
      <c r="J775" s="47">
        <v>15000</v>
      </c>
      <c r="K775" s="45"/>
      <c r="L775" s="62">
        <f>H775+I775+J775+K775</f>
        <v>15000</v>
      </c>
      <c r="M775" s="62"/>
      <c r="N775" s="62"/>
      <c r="O775" s="244"/>
      <c r="P775" s="934"/>
    </row>
    <row r="776" spans="1:16" ht="15.75" customHeight="1" x14ac:dyDescent="0.25">
      <c r="A776" s="869"/>
      <c r="B776" s="22"/>
      <c r="C776" s="870"/>
      <c r="D776" s="870">
        <v>820000</v>
      </c>
      <c r="E776" s="883" t="s">
        <v>648</v>
      </c>
      <c r="F776" s="886">
        <f>F770+F771+F772+F773+F774+F775</f>
        <v>0</v>
      </c>
      <c r="G776" s="886">
        <f>G770+G771+G772+G773+G774+G775</f>
        <v>208000</v>
      </c>
      <c r="H776" s="886">
        <f t="shared" ref="H776:N776" si="173">H770+H771+H772+H773+H774+H775</f>
        <v>15000</v>
      </c>
      <c r="I776" s="886">
        <f t="shared" si="173"/>
        <v>0</v>
      </c>
      <c r="J776" s="886">
        <f t="shared" si="173"/>
        <v>95000</v>
      </c>
      <c r="K776" s="886">
        <f t="shared" si="173"/>
        <v>113000</v>
      </c>
      <c r="L776" s="886">
        <f t="shared" si="173"/>
        <v>223000</v>
      </c>
      <c r="M776" s="886">
        <f t="shared" si="173"/>
        <v>40000</v>
      </c>
      <c r="N776" s="886">
        <f t="shared" si="173"/>
        <v>40000</v>
      </c>
      <c r="O776" s="244"/>
      <c r="P776" s="934"/>
    </row>
    <row r="777" spans="1:16" ht="15.75" customHeight="1" x14ac:dyDescent="0.25">
      <c r="O777" s="244"/>
      <c r="P777" s="934"/>
    </row>
    <row r="778" spans="1:16" ht="15.75" customHeight="1" x14ac:dyDescent="0.25">
      <c r="A778" s="869"/>
      <c r="B778" s="22"/>
      <c r="C778" s="871"/>
      <c r="D778" s="871"/>
      <c r="E778" s="894" t="s">
        <v>996</v>
      </c>
      <c r="F778" s="914">
        <f xml:space="preserve"> Korisnici!F719+Korisnici!F721+Korisnici!F751+Korisnici!F756+F768+F776</f>
        <v>1750658</v>
      </c>
      <c r="G778" s="914">
        <f xml:space="preserve"> Korisnici!G719+Korisnici!G721+Korisnici!G751+Korisnici!G756+G768+G776</f>
        <v>2423500</v>
      </c>
      <c r="H778" s="914">
        <f xml:space="preserve"> Korisnici!H719+Korisnici!H721+Korisnici!H751+Korisnici!H756+H768+H776</f>
        <v>681212.9</v>
      </c>
      <c r="I778" s="914">
        <f xml:space="preserve"> Korisnici!I719+Korisnici!I721+Korisnici!I751+Korisnici!I756+I768+I776</f>
        <v>0</v>
      </c>
      <c r="J778" s="914">
        <f xml:space="preserve"> Korisnici!J719+Korisnici!J721+Korisnici!J751+Korisnici!J756+J768+J776</f>
        <v>2484500</v>
      </c>
      <c r="K778" s="914">
        <f xml:space="preserve"> Korisnici!K719+Korisnici!K721+Korisnici!K751+Korisnici!K756+K768+K776</f>
        <v>183000</v>
      </c>
      <c r="L778" s="914">
        <f xml:space="preserve"> Korisnici!L719+Korisnici!L721+Korisnici!L751+Korisnici!L756+L768+L776</f>
        <v>3348712.9</v>
      </c>
      <c r="M778" s="914">
        <f xml:space="preserve"> Korisnici!M719+Korisnici!M721+Korisnici!M751+Korisnici!M756+M768+M776</f>
        <v>2617800</v>
      </c>
      <c r="N778" s="914">
        <f xml:space="preserve"> Korisnici!N719+Korisnici!N721+Korisnici!N751+Korisnici!N756+N768+N776</f>
        <v>2627800</v>
      </c>
      <c r="O778" s="244"/>
      <c r="P778" s="934"/>
    </row>
    <row r="779" spans="1:16" ht="10.5" customHeight="1" x14ac:dyDescent="0.25">
      <c r="A779" s="14"/>
      <c r="B779" s="291"/>
      <c r="C779" s="887"/>
      <c r="D779" s="887"/>
      <c r="E779" s="243"/>
      <c r="F779" s="244"/>
      <c r="G779" s="244"/>
      <c r="H779" s="244"/>
      <c r="I779" s="244"/>
      <c r="J779" s="244"/>
      <c r="K779" s="244"/>
      <c r="L779" s="244"/>
      <c r="M779" s="244"/>
      <c r="N779" s="244"/>
      <c r="O779" s="244"/>
      <c r="P779" s="934"/>
    </row>
    <row r="780" spans="1:16" ht="15.75" customHeight="1" x14ac:dyDescent="0.25">
      <c r="A780" s="14"/>
      <c r="B780" s="291"/>
      <c r="C780" s="887"/>
      <c r="D780" s="887"/>
      <c r="E780" s="27" t="s">
        <v>663</v>
      </c>
      <c r="F780" s="64">
        <f>Korisnici!F59+Korisnici!F102+Korisnici!F142+Korisnici!F283+Korisnici!F421+Korisnici!F464+Korisnici!F496+Korisnici!F533+F624+F690+F712+F778</f>
        <v>14097752</v>
      </c>
      <c r="G780" s="64">
        <f>Korisnici!G59+Korisnici!G102+Korisnici!G142+Korisnici!G283+Korisnici!G421+Korisnici!G464+Korisnici!G496+Korisnici!G533+G624+G690+G712+G778</f>
        <v>22560764.68</v>
      </c>
      <c r="H780" s="64">
        <f>Korisnici!H59+Korisnici!H102+Korisnici!H142+Korisnici!H283+Korisnici!H421+Korisnici!H464+Korisnici!H496+Korisnici!H533+H624+H690+H712+H778</f>
        <v>10580416.66</v>
      </c>
      <c r="I780" s="64">
        <f>Korisnici!I59+Korisnici!I102+Korisnici!I142+Korisnici!I283+Korisnici!I421+Korisnici!I464+Korisnici!I496+Korisnici!I533+I624+I690+I712+I778</f>
        <v>2633556</v>
      </c>
      <c r="J780" s="64">
        <f>Korisnici!J59+Korisnici!J102+Korisnici!J142+Korisnici!J283+Korisnici!J421+Korisnici!J464+Korisnici!J496+Korisnici!J533+J624+J690+J712+J778</f>
        <v>9026326.9800000004</v>
      </c>
      <c r="K780" s="64">
        <f>Korisnici!K59+Korisnici!K102+Korisnici!K142+Korisnici!K283+Korisnici!K421+Korisnici!K464+Korisnici!K496+Korisnici!K533+K624+K690+K712+K778</f>
        <v>3491051.68</v>
      </c>
      <c r="L780" s="64">
        <f>Korisnici!L59+Korisnici!L102+Korisnici!L142+Korisnici!L283+Korisnici!L421+Korisnici!L464+Korisnici!L496+Korisnici!L533+L624+L690+L712+L778</f>
        <v>25731351.319999997</v>
      </c>
      <c r="M780" s="886">
        <f>Korisnici!M59+Korisnici!M102+Korisnici!M142+Korisnici!M283+Korisnici!M421+Korisnici!M464+Korisnici!M496+Korisnici!M533+M624+M690+M712+M778</f>
        <v>21075274.550000001</v>
      </c>
      <c r="N780" s="886">
        <f>Korisnici!N59+Korisnici!N102+Korisnici!N142+Korisnici!N283+Korisnici!N421+Korisnici!N464+Korisnici!N496+Korisnici!N533+N624+N690+N712+N778</f>
        <v>18813542.550000001</v>
      </c>
      <c r="O780" s="244"/>
      <c r="P780" s="934"/>
    </row>
    <row r="781" spans="1:16" ht="15.75" customHeight="1" x14ac:dyDescent="0.25">
      <c r="A781" s="14"/>
      <c r="B781" s="291"/>
      <c r="C781" s="887"/>
      <c r="D781" s="887"/>
      <c r="E781" s="243"/>
      <c r="F781" s="244"/>
      <c r="G781" s="244"/>
      <c r="H781" s="244"/>
      <c r="I781" s="244"/>
      <c r="J781" s="244"/>
      <c r="K781" s="244"/>
      <c r="L781" s="244"/>
      <c r="M781" s="244"/>
      <c r="N781" s="244"/>
      <c r="O781" s="244"/>
      <c r="P781" s="934"/>
    </row>
    <row r="782" spans="1:16" x14ac:dyDescent="0.25">
      <c r="A782" s="19">
        <v>13</v>
      </c>
      <c r="B782" s="293">
        <v>131</v>
      </c>
      <c r="C782" s="66"/>
      <c r="D782" s="32"/>
      <c r="E782" s="167" t="s">
        <v>24</v>
      </c>
      <c r="F782" s="33"/>
      <c r="G782" s="33"/>
      <c r="H782" s="120"/>
      <c r="I782" s="120"/>
      <c r="J782" s="368"/>
      <c r="K782" s="120"/>
      <c r="L782" s="33"/>
      <c r="M782" s="33"/>
      <c r="N782" s="33"/>
      <c r="O782" s="770"/>
    </row>
    <row r="783" spans="1:16" ht="11.25" customHeight="1" x14ac:dyDescent="0.25">
      <c r="A783" s="20"/>
      <c r="B783" s="22"/>
      <c r="C783" s="79"/>
      <c r="D783" s="82"/>
      <c r="E783" s="168"/>
      <c r="F783" s="36"/>
      <c r="G783" s="36"/>
      <c r="H783" s="263"/>
      <c r="I783" s="263"/>
      <c r="J783" s="587"/>
      <c r="K783" s="263"/>
      <c r="L783" s="36"/>
      <c r="M783" s="36"/>
      <c r="N783" s="36"/>
      <c r="O783" s="35"/>
    </row>
    <row r="784" spans="1:16" x14ac:dyDescent="0.25">
      <c r="A784" s="20"/>
      <c r="B784" s="22"/>
      <c r="C784" s="37" t="s">
        <v>235</v>
      </c>
      <c r="D784" s="37">
        <v>611100</v>
      </c>
      <c r="E784" s="38" t="s">
        <v>615</v>
      </c>
      <c r="F784" s="45">
        <v>96656</v>
      </c>
      <c r="G784" s="45">
        <v>142620</v>
      </c>
      <c r="H784" s="45">
        <f>(11080*12+3040)+(13600)/2</f>
        <v>142800</v>
      </c>
      <c r="I784" s="45"/>
      <c r="J784" s="47"/>
      <c r="K784" s="45"/>
      <c r="L784" s="47">
        <f>H784+I784+J784+K784</f>
        <v>142800</v>
      </c>
      <c r="M784" s="45">
        <f>(130000+6000)+26380</f>
        <v>162380</v>
      </c>
      <c r="N784" s="45">
        <f>145000+17380</f>
        <v>162380</v>
      </c>
      <c r="O784" s="756" t="s">
        <v>1044</v>
      </c>
      <c r="P784" s="755">
        <v>13600</v>
      </c>
    </row>
    <row r="785" spans="1:16" x14ac:dyDescent="0.25">
      <c r="A785" s="20"/>
      <c r="B785" s="22"/>
      <c r="C785" s="37" t="s">
        <v>235</v>
      </c>
      <c r="D785" s="37">
        <v>611200</v>
      </c>
      <c r="E785" s="38" t="s">
        <v>12</v>
      </c>
      <c r="F785" s="39">
        <v>5810</v>
      </c>
      <c r="G785" s="39">
        <v>11204</v>
      </c>
      <c r="H785" s="48">
        <f>(4*22*9.3)*11+(4*450)+(175*11)+73</f>
        <v>12800.400000000001</v>
      </c>
      <c r="I785" s="45"/>
      <c r="J785" s="47"/>
      <c r="K785" s="45"/>
      <c r="L785" s="47">
        <f>H785+I785+J785+K785</f>
        <v>12800.400000000001</v>
      </c>
      <c r="M785" s="39">
        <f>7500+5300</f>
        <v>12800</v>
      </c>
      <c r="N785" s="39">
        <f>7500+5300</f>
        <v>12800</v>
      </c>
      <c r="O785" s="40"/>
    </row>
    <row r="786" spans="1:16" x14ac:dyDescent="0.25">
      <c r="A786" s="20"/>
      <c r="B786" s="22"/>
      <c r="C786" s="27" t="s">
        <v>235</v>
      </c>
      <c r="D786" s="27">
        <v>611000</v>
      </c>
      <c r="E786" s="55" t="s">
        <v>13</v>
      </c>
      <c r="F786" s="56">
        <f t="shared" ref="F786:G786" si="174">SUM(F784:F785)</f>
        <v>102466</v>
      </c>
      <c r="G786" s="56">
        <f t="shared" si="174"/>
        <v>153824</v>
      </c>
      <c r="H786" s="78">
        <f>SUM(H784:H785)</f>
        <v>155600.4</v>
      </c>
      <c r="I786" s="78">
        <f>SUM(I784:I785)</f>
        <v>0</v>
      </c>
      <c r="J786" s="329">
        <f>SUM(J784:J785)</f>
        <v>0</v>
      </c>
      <c r="K786" s="78">
        <f>SUM(K784:K785)</f>
        <v>0</v>
      </c>
      <c r="L786" s="56">
        <f>SUM(L784:L785)</f>
        <v>155600.4</v>
      </c>
      <c r="M786" s="56">
        <f t="shared" ref="M786:N786" si="175">SUM(M784:M785)</f>
        <v>175180</v>
      </c>
      <c r="N786" s="56">
        <f t="shared" si="175"/>
        <v>175180</v>
      </c>
      <c r="O786" s="56"/>
    </row>
    <row r="787" spans="1:16" x14ac:dyDescent="0.25">
      <c r="A787" s="20"/>
      <c r="B787" s="22"/>
      <c r="C787" s="66"/>
      <c r="D787" s="66"/>
      <c r="E787" s="32"/>
      <c r="F787" s="73"/>
      <c r="G787" s="73"/>
      <c r="H787" s="120"/>
      <c r="I787" s="120"/>
      <c r="J787" s="368"/>
      <c r="K787" s="120"/>
      <c r="L787" s="73"/>
      <c r="M787" s="73"/>
      <c r="N787" s="73"/>
      <c r="O787" s="70"/>
    </row>
    <row r="788" spans="1:16" x14ac:dyDescent="0.25">
      <c r="A788" s="20"/>
      <c r="B788" s="22"/>
      <c r="C788" s="27" t="s">
        <v>235</v>
      </c>
      <c r="D788" s="27">
        <v>612111</v>
      </c>
      <c r="E788" s="124" t="s">
        <v>14</v>
      </c>
      <c r="F788" s="78">
        <v>10150</v>
      </c>
      <c r="G788" s="78">
        <f>((7006+1329)*10.5%)*12+4080</f>
        <v>14582.099999999999</v>
      </c>
      <c r="H788" s="78">
        <f>(1165*12+420)+600+500</f>
        <v>15500</v>
      </c>
      <c r="I788" s="78"/>
      <c r="J788" s="329"/>
      <c r="K788" s="78"/>
      <c r="L788" s="78">
        <f>H788+I788+J788+K788</f>
        <v>15500</v>
      </c>
      <c r="M788" s="78">
        <f>M784*10.5%</f>
        <v>17049.899999999998</v>
      </c>
      <c r="N788" s="78">
        <f>N784*10.5%</f>
        <v>17049.899999999998</v>
      </c>
      <c r="O788" s="756" t="s">
        <v>1044</v>
      </c>
      <c r="P788" s="755">
        <f>142800*10.5/100</f>
        <v>14994</v>
      </c>
    </row>
    <row r="789" spans="1:16" ht="47.25" x14ac:dyDescent="0.25">
      <c r="A789" s="20"/>
      <c r="B789" s="22"/>
      <c r="C789" s="54" t="s">
        <v>235</v>
      </c>
      <c r="D789" s="27">
        <v>612219</v>
      </c>
      <c r="E789" s="565" t="s">
        <v>386</v>
      </c>
      <c r="F789" s="329"/>
      <c r="G789" s="329">
        <f>419.13+369.93+522.87+466.29+37.27</f>
        <v>1815.4899999999998</v>
      </c>
      <c r="H789" s="329">
        <f>419.13+369.93+522.87+466.29+37.27</f>
        <v>1815.4899999999998</v>
      </c>
      <c r="I789" s="78"/>
      <c r="J789" s="329"/>
      <c r="K789" s="78"/>
      <c r="L789" s="329">
        <f>H789+I789+J789+K789</f>
        <v>1815.4899999999998</v>
      </c>
      <c r="M789" s="78">
        <v>2000</v>
      </c>
      <c r="N789" s="78">
        <v>2000</v>
      </c>
      <c r="O789" s="78"/>
    </row>
    <row r="790" spans="1:16" x14ac:dyDescent="0.25">
      <c r="A790" s="20"/>
      <c r="B790" s="22"/>
      <c r="C790" s="66"/>
      <c r="D790" s="66"/>
      <c r="E790" s="169"/>
      <c r="F790" s="36"/>
      <c r="G790" s="36"/>
      <c r="H790" s="263"/>
      <c r="I790" s="263"/>
      <c r="J790" s="587"/>
      <c r="K790" s="263"/>
      <c r="L790" s="36"/>
      <c r="M790" s="36"/>
      <c r="N790" s="36"/>
      <c r="O790" s="35"/>
    </row>
    <row r="791" spans="1:16" x14ac:dyDescent="0.25">
      <c r="A791" s="20"/>
      <c r="B791" s="22"/>
      <c r="C791" s="37" t="s">
        <v>235</v>
      </c>
      <c r="D791" s="37">
        <v>613100</v>
      </c>
      <c r="E791" s="122" t="s">
        <v>93</v>
      </c>
      <c r="F791" s="39">
        <v>125</v>
      </c>
      <c r="G791" s="39">
        <v>1000</v>
      </c>
      <c r="H791" s="45">
        <v>1000</v>
      </c>
      <c r="I791" s="45"/>
      <c r="J791" s="47"/>
      <c r="K791" s="45"/>
      <c r="L791" s="39">
        <f>H791+I791+J791+K791</f>
        <v>1000</v>
      </c>
      <c r="M791" s="39">
        <v>1000</v>
      </c>
      <c r="N791" s="39">
        <v>1000</v>
      </c>
      <c r="O791" s="40"/>
    </row>
    <row r="792" spans="1:16" x14ac:dyDescent="0.25">
      <c r="A792" s="20"/>
      <c r="B792" s="22"/>
      <c r="C792" s="37" t="s">
        <v>235</v>
      </c>
      <c r="D792" s="37">
        <v>613300</v>
      </c>
      <c r="E792" s="63" t="s">
        <v>114</v>
      </c>
      <c r="F792" s="45">
        <f>F793+F794</f>
        <v>999</v>
      </c>
      <c r="G792" s="45">
        <f>G793+G794</f>
        <v>2100</v>
      </c>
      <c r="H792" s="45">
        <f>H793+H794</f>
        <v>2100</v>
      </c>
      <c r="I792" s="45">
        <f>I793</f>
        <v>0</v>
      </c>
      <c r="J792" s="47">
        <f>J793</f>
        <v>0</v>
      </c>
      <c r="K792" s="45">
        <f>K793</f>
        <v>0</v>
      </c>
      <c r="L792" s="45">
        <f>L793+L794</f>
        <v>2100</v>
      </c>
      <c r="M792" s="45">
        <f>M793+M794</f>
        <v>2100</v>
      </c>
      <c r="N792" s="45">
        <f>N793+N794</f>
        <v>2100</v>
      </c>
      <c r="O792" s="84"/>
    </row>
    <row r="793" spans="1:16" x14ac:dyDescent="0.25">
      <c r="A793" s="20"/>
      <c r="B793" s="22"/>
      <c r="C793" s="37" t="s">
        <v>235</v>
      </c>
      <c r="D793" s="52">
        <v>613311</v>
      </c>
      <c r="E793" s="85" t="s">
        <v>121</v>
      </c>
      <c r="F793" s="45">
        <v>450</v>
      </c>
      <c r="G793" s="45">
        <v>1500</v>
      </c>
      <c r="H793" s="45">
        <v>1500</v>
      </c>
      <c r="I793" s="45"/>
      <c r="J793" s="47"/>
      <c r="K793" s="45"/>
      <c r="L793" s="45">
        <f t="shared" ref="L793:L801" si="176">H793+I793+J793+K793</f>
        <v>1500</v>
      </c>
      <c r="M793" s="45">
        <v>1500</v>
      </c>
      <c r="N793" s="45">
        <v>1500</v>
      </c>
      <c r="O793" s="84"/>
    </row>
    <row r="794" spans="1:16" x14ac:dyDescent="0.25">
      <c r="A794" s="20"/>
      <c r="B794" s="22"/>
      <c r="C794" s="37"/>
      <c r="D794" s="52">
        <v>613313</v>
      </c>
      <c r="E794" s="86" t="s">
        <v>197</v>
      </c>
      <c r="F794" s="96">
        <v>549</v>
      </c>
      <c r="G794" s="96">
        <v>600</v>
      </c>
      <c r="H794" s="47">
        <f>(50*12)</f>
        <v>600</v>
      </c>
      <c r="I794" s="48"/>
      <c r="J794" s="300"/>
      <c r="K794" s="48"/>
      <c r="L794" s="96">
        <f t="shared" si="176"/>
        <v>600</v>
      </c>
      <c r="M794" s="96">
        <v>600</v>
      </c>
      <c r="N794" s="96">
        <v>600</v>
      </c>
      <c r="O794" s="261"/>
    </row>
    <row r="795" spans="1:16" x14ac:dyDescent="0.25">
      <c r="A795" s="20"/>
      <c r="B795" s="22"/>
      <c r="C795" s="37" t="s">
        <v>235</v>
      </c>
      <c r="D795" s="37">
        <v>613400</v>
      </c>
      <c r="E795" s="38" t="s">
        <v>116</v>
      </c>
      <c r="F795" s="45">
        <v>1931</v>
      </c>
      <c r="G795" s="45">
        <v>3000</v>
      </c>
      <c r="H795" s="45">
        <v>3000</v>
      </c>
      <c r="I795" s="45"/>
      <c r="J795" s="47"/>
      <c r="K795" s="45"/>
      <c r="L795" s="45">
        <f t="shared" si="176"/>
        <v>3000</v>
      </c>
      <c r="M795" s="45">
        <v>3000</v>
      </c>
      <c r="N795" s="45">
        <v>3000</v>
      </c>
      <c r="O795" s="84"/>
    </row>
    <row r="796" spans="1:16" x14ac:dyDescent="0.25">
      <c r="A796" s="20"/>
      <c r="B796" s="22"/>
      <c r="C796" s="37" t="s">
        <v>235</v>
      </c>
      <c r="D796" s="37">
        <v>613900</v>
      </c>
      <c r="E796" s="38" t="s">
        <v>7</v>
      </c>
      <c r="F796" s="40">
        <f t="shared" ref="F796:K796" si="177">F797+F798+F799+F800+F801</f>
        <v>115342.5</v>
      </c>
      <c r="G796" s="40">
        <f t="shared" si="177"/>
        <v>127000</v>
      </c>
      <c r="H796" s="40">
        <f t="shared" si="177"/>
        <v>126000.3</v>
      </c>
      <c r="I796" s="40">
        <f t="shared" si="177"/>
        <v>0</v>
      </c>
      <c r="J796" s="40">
        <f t="shared" si="177"/>
        <v>0</v>
      </c>
      <c r="K796" s="40">
        <f t="shared" si="177"/>
        <v>0</v>
      </c>
      <c r="L796" s="84">
        <f t="shared" si="176"/>
        <v>126000.3</v>
      </c>
      <c r="M796" s="40">
        <f>M798+M799+M800+M801</f>
        <v>128500</v>
      </c>
      <c r="N796" s="40">
        <f>N798+N799+N800+N801</f>
        <v>148500</v>
      </c>
      <c r="O796" s="83"/>
    </row>
    <row r="797" spans="1:16" x14ac:dyDescent="0.25">
      <c r="A797" s="20"/>
      <c r="B797" s="22"/>
      <c r="C797" s="37" t="s">
        <v>235</v>
      </c>
      <c r="D797" s="37">
        <v>613914</v>
      </c>
      <c r="E797" s="85" t="s">
        <v>520</v>
      </c>
      <c r="F797" s="39"/>
      <c r="G797" s="39">
        <v>1000</v>
      </c>
      <c r="H797" s="45"/>
      <c r="I797" s="84"/>
      <c r="J797" s="598"/>
      <c r="K797" s="84"/>
      <c r="L797" s="45">
        <f t="shared" si="176"/>
        <v>0</v>
      </c>
      <c r="M797" s="40"/>
      <c r="N797" s="40"/>
      <c r="O797" s="83"/>
    </row>
    <row r="798" spans="1:16" ht="30.75" x14ac:dyDescent="0.25">
      <c r="A798" s="20"/>
      <c r="B798" s="22"/>
      <c r="C798" s="37" t="s">
        <v>235</v>
      </c>
      <c r="D798" s="52">
        <v>613920</v>
      </c>
      <c r="E798" s="86" t="s">
        <v>202</v>
      </c>
      <c r="F798" s="96"/>
      <c r="G798" s="96">
        <f>1000+500</f>
        <v>1500</v>
      </c>
      <c r="H798" s="45">
        <f>1000+500</f>
        <v>1500</v>
      </c>
      <c r="I798" s="45"/>
      <c r="J798" s="47"/>
      <c r="K798" s="45"/>
      <c r="L798" s="96">
        <f t="shared" si="176"/>
        <v>1500</v>
      </c>
      <c r="M798" s="96">
        <f>1000+500</f>
        <v>1500</v>
      </c>
      <c r="N798" s="96">
        <f>1000+500</f>
        <v>1500</v>
      </c>
      <c r="O798" s="261"/>
    </row>
    <row r="799" spans="1:16" x14ac:dyDescent="0.25">
      <c r="A799" s="20"/>
      <c r="B799" s="22"/>
      <c r="C799" s="37" t="s">
        <v>235</v>
      </c>
      <c r="D799" s="37">
        <v>613937</v>
      </c>
      <c r="E799" s="85" t="s">
        <v>518</v>
      </c>
      <c r="F799" s="50">
        <v>2519</v>
      </c>
      <c r="G799" s="50">
        <v>10000</v>
      </c>
      <c r="H799" s="47">
        <f>2000+3000+5000</f>
        <v>10000</v>
      </c>
      <c r="I799" s="45"/>
      <c r="J799" s="47"/>
      <c r="K799" s="45"/>
      <c r="L799" s="50">
        <f t="shared" si="176"/>
        <v>10000</v>
      </c>
      <c r="M799" s="50">
        <f>2000+3000</f>
        <v>5000</v>
      </c>
      <c r="N799" s="50">
        <f>2000+3000</f>
        <v>5000</v>
      </c>
      <c r="O799" s="778"/>
    </row>
    <row r="800" spans="1:16" ht="60.75" x14ac:dyDescent="0.25">
      <c r="A800" s="20"/>
      <c r="B800" s="22"/>
      <c r="C800" s="37" t="s">
        <v>217</v>
      </c>
      <c r="D800" s="37">
        <v>613960</v>
      </c>
      <c r="E800" s="86" t="s">
        <v>545</v>
      </c>
      <c r="F800" s="103">
        <v>112500.2</v>
      </c>
      <c r="G800" s="103">
        <v>112500</v>
      </c>
      <c r="H800" s="47">
        <f>50000-17500+80000</f>
        <v>112500</v>
      </c>
      <c r="I800" s="45"/>
      <c r="J800" s="47"/>
      <c r="K800" s="45"/>
      <c r="L800" s="62">
        <f t="shared" si="176"/>
        <v>112500</v>
      </c>
      <c r="M800" s="103">
        <f>50000+100000-30000</f>
        <v>120000</v>
      </c>
      <c r="N800" s="103">
        <f>50000+100000-10000</f>
        <v>140000</v>
      </c>
      <c r="O800" s="114"/>
    </row>
    <row r="801" spans="1:16" x14ac:dyDescent="0.25">
      <c r="A801" s="20"/>
      <c r="B801" s="22"/>
      <c r="C801" s="100" t="s">
        <v>235</v>
      </c>
      <c r="D801" s="100">
        <v>613991</v>
      </c>
      <c r="E801" s="444" t="s">
        <v>519</v>
      </c>
      <c r="F801" s="465">
        <v>323.3</v>
      </c>
      <c r="G801" s="465">
        <f>2000</f>
        <v>2000</v>
      </c>
      <c r="H801" s="47">
        <f>2000+0.3</f>
        <v>2000.3</v>
      </c>
      <c r="I801" s="47"/>
      <c r="J801" s="47"/>
      <c r="K801" s="47"/>
      <c r="L801" s="62">
        <f t="shared" si="176"/>
        <v>2000.3</v>
      </c>
      <c r="M801" s="465">
        <v>2000</v>
      </c>
      <c r="N801" s="465">
        <v>2000</v>
      </c>
      <c r="O801" s="586"/>
    </row>
    <row r="802" spans="1:16" x14ac:dyDescent="0.25">
      <c r="A802" s="20"/>
      <c r="B802" s="22"/>
      <c r="C802" s="27" t="s">
        <v>235</v>
      </c>
      <c r="D802" s="27">
        <v>613000</v>
      </c>
      <c r="E802" s="55" t="s">
        <v>15</v>
      </c>
      <c r="F802" s="56">
        <f t="shared" ref="F802:G802" si="178">F791+F792+F795+F796</f>
        <v>118397.5</v>
      </c>
      <c r="G802" s="56">
        <f t="shared" si="178"/>
        <v>133100</v>
      </c>
      <c r="H802" s="78">
        <f>H791+H792+H795+H796</f>
        <v>132100.29999999999</v>
      </c>
      <c r="I802" s="78">
        <f>I791+I792+I795+I796</f>
        <v>0</v>
      </c>
      <c r="J802" s="329">
        <f>J791+J792+J795+J796</f>
        <v>0</v>
      </c>
      <c r="K802" s="78">
        <f>K791+K792+K795+K796</f>
        <v>0</v>
      </c>
      <c r="L802" s="56">
        <f>L791+L792+L795+L796</f>
        <v>132100.29999999999</v>
      </c>
      <c r="M802" s="56">
        <f t="shared" ref="M802:N802" si="179">M791+M792+M795+M796</f>
        <v>134600</v>
      </c>
      <c r="N802" s="56">
        <f t="shared" si="179"/>
        <v>154600</v>
      </c>
      <c r="O802" s="56"/>
    </row>
    <row r="803" spans="1:16" ht="13.5" customHeight="1" x14ac:dyDescent="0.25">
      <c r="A803" s="20"/>
      <c r="B803" s="22"/>
      <c r="C803" s="243"/>
      <c r="D803" s="243"/>
      <c r="E803" s="314"/>
      <c r="F803" s="244"/>
      <c r="G803" s="244"/>
      <c r="H803" s="265"/>
      <c r="I803" s="265"/>
      <c r="J803" s="265"/>
      <c r="K803" s="265"/>
      <c r="L803" s="244"/>
      <c r="M803" s="244"/>
      <c r="N803" s="244"/>
      <c r="O803" s="244"/>
    </row>
    <row r="804" spans="1:16" ht="17.25" customHeight="1" x14ac:dyDescent="0.25">
      <c r="A804" s="20"/>
      <c r="B804" s="22"/>
      <c r="C804" s="171" t="s">
        <v>217</v>
      </c>
      <c r="D804" s="171">
        <v>614819</v>
      </c>
      <c r="E804" s="347" t="s">
        <v>278</v>
      </c>
      <c r="F804" s="586">
        <v>600</v>
      </c>
      <c r="G804" s="586">
        <f>50000+(37360.25*12)-448323</f>
        <v>50000</v>
      </c>
      <c r="H804" s="301">
        <v>50000</v>
      </c>
      <c r="I804" s="301">
        <f>1100000-1100000</f>
        <v>0</v>
      </c>
      <c r="J804" s="301">
        <f>50000+513082-513082-50000</f>
        <v>0</v>
      </c>
      <c r="K804" s="40"/>
      <c r="L804" s="301">
        <f>H804+I804+J804+K804</f>
        <v>50000</v>
      </c>
      <c r="M804" s="586">
        <f>50000+(37360.25*12)-448323</f>
        <v>50000</v>
      </c>
      <c r="N804" s="586">
        <v>50000</v>
      </c>
      <c r="O804" s="114"/>
    </row>
    <row r="805" spans="1:16" x14ac:dyDescent="0.25">
      <c r="A805" s="20"/>
      <c r="B805" s="22"/>
      <c r="C805" s="54" t="s">
        <v>217</v>
      </c>
      <c r="D805" s="27">
        <v>614000</v>
      </c>
      <c r="E805" s="55" t="s">
        <v>187</v>
      </c>
      <c r="F805" s="94">
        <f t="shared" ref="F805:G805" si="180">F804</f>
        <v>600</v>
      </c>
      <c r="G805" s="94">
        <f t="shared" si="180"/>
        <v>50000</v>
      </c>
      <c r="H805" s="94">
        <f>H804</f>
        <v>50000</v>
      </c>
      <c r="I805" s="94">
        <f>I804</f>
        <v>0</v>
      </c>
      <c r="J805" s="94">
        <f>J804</f>
        <v>0</v>
      </c>
      <c r="K805" s="94">
        <f>K804</f>
        <v>0</v>
      </c>
      <c r="L805" s="94">
        <f>L804</f>
        <v>50000</v>
      </c>
      <c r="M805" s="94">
        <f t="shared" ref="M805:N805" si="181">M804</f>
        <v>50000</v>
      </c>
      <c r="N805" s="94">
        <f t="shared" si="181"/>
        <v>50000</v>
      </c>
      <c r="O805" s="64"/>
    </row>
    <row r="806" spans="1:16" ht="12" customHeight="1" x14ac:dyDescent="0.25">
      <c r="A806" s="20"/>
      <c r="B806" s="22"/>
      <c r="C806" s="80"/>
      <c r="D806" s="243"/>
      <c r="E806" s="314"/>
      <c r="F806" s="265"/>
      <c r="G806" s="265"/>
      <c r="H806" s="265"/>
      <c r="I806" s="265"/>
      <c r="J806" s="265"/>
      <c r="K806" s="265"/>
      <c r="L806" s="265"/>
      <c r="M806" s="265"/>
      <c r="N806" s="265"/>
      <c r="O806" s="769"/>
    </row>
    <row r="807" spans="1:16" x14ac:dyDescent="0.25">
      <c r="A807" s="20"/>
      <c r="B807" s="22"/>
      <c r="C807" s="37" t="s">
        <v>235</v>
      </c>
      <c r="D807" s="106">
        <v>821300</v>
      </c>
      <c r="E807" s="656" t="s">
        <v>613</v>
      </c>
      <c r="F807" s="39"/>
      <c r="G807" s="39">
        <v>3000</v>
      </c>
      <c r="H807" s="301">
        <f>5000-2000+2000</f>
        <v>5000</v>
      </c>
      <c r="I807" s="40"/>
      <c r="J807" s="301"/>
      <c r="K807" s="40"/>
      <c r="L807" s="301">
        <f>H807+I807+J807+K807</f>
        <v>5000</v>
      </c>
      <c r="M807" s="39">
        <v>2000</v>
      </c>
      <c r="N807" s="39">
        <v>2000</v>
      </c>
      <c r="O807" s="769"/>
    </row>
    <row r="808" spans="1:16" ht="9.75" customHeight="1" x14ac:dyDescent="0.25">
      <c r="A808" s="20"/>
      <c r="B808" s="22"/>
      <c r="C808" s="80"/>
      <c r="D808" s="80"/>
      <c r="E808" s="376"/>
      <c r="F808" s="377"/>
      <c r="G808" s="377"/>
      <c r="H808" s="368"/>
      <c r="I808" s="368"/>
      <c r="J808" s="368"/>
      <c r="K808" s="368"/>
      <c r="L808" s="377"/>
      <c r="M808" s="377"/>
      <c r="N808" s="377"/>
      <c r="O808" s="70"/>
    </row>
    <row r="809" spans="1:16" x14ac:dyDescent="0.25">
      <c r="A809" s="20"/>
      <c r="B809" s="22"/>
      <c r="C809" s="66"/>
      <c r="D809" s="66"/>
      <c r="E809" s="27" t="s">
        <v>664</v>
      </c>
      <c r="F809" s="78">
        <f t="shared" ref="F809:G809" si="182">F786+F788+F789+F802+F805+F807</f>
        <v>231613.5</v>
      </c>
      <c r="G809" s="78">
        <f t="shared" si="182"/>
        <v>356321.58999999997</v>
      </c>
      <c r="H809" s="78">
        <f>H786+H788+H789+H802+H805+H807</f>
        <v>360016.18999999994</v>
      </c>
      <c r="I809" s="78">
        <f>I786+I788+I789+I802+I805+I807</f>
        <v>0</v>
      </c>
      <c r="J809" s="78">
        <f>J786+J788+J789+J802+J805+J807</f>
        <v>0</v>
      </c>
      <c r="K809" s="78">
        <f>K786+K788+K789+K802+K805+K807</f>
        <v>0</v>
      </c>
      <c r="L809" s="78">
        <f>L786+L788+L789+L802+L805+L807</f>
        <v>360016.18999999994</v>
      </c>
      <c r="M809" s="78">
        <f t="shared" ref="M809:N809" si="183">M786+M788+M789+M802+M805+M807</f>
        <v>380829.9</v>
      </c>
      <c r="N809" s="78">
        <f t="shared" si="183"/>
        <v>400829.9</v>
      </c>
      <c r="O809" s="56"/>
    </row>
    <row r="810" spans="1:16" ht="12" customHeight="1" x14ac:dyDescent="0.25">
      <c r="A810" s="20"/>
      <c r="B810" s="22"/>
      <c r="C810" s="15"/>
      <c r="D810" s="24"/>
      <c r="E810" s="24"/>
      <c r="F810" s="15"/>
      <c r="G810" s="15"/>
      <c r="H810" s="120"/>
      <c r="I810" s="120"/>
      <c r="J810" s="368"/>
      <c r="K810" s="120"/>
      <c r="L810" s="15"/>
      <c r="M810" s="15"/>
      <c r="N810" s="15"/>
      <c r="O810" s="788"/>
    </row>
    <row r="811" spans="1:16" x14ac:dyDescent="0.25">
      <c r="A811" s="19">
        <v>14</v>
      </c>
      <c r="B811" s="293">
        <v>141</v>
      </c>
      <c r="C811" s="27" t="s">
        <v>215</v>
      </c>
      <c r="D811" s="27">
        <v>617111</v>
      </c>
      <c r="E811" s="27" t="s">
        <v>25</v>
      </c>
      <c r="F811" s="78">
        <v>15729</v>
      </c>
      <c r="G811" s="78">
        <v>60000</v>
      </c>
      <c r="H811" s="329">
        <f>70000-10000</f>
        <v>60000</v>
      </c>
      <c r="I811" s="78"/>
      <c r="J811" s="329"/>
      <c r="K811" s="78"/>
      <c r="L811" s="329">
        <f>H811+I811+J811+K811</f>
        <v>60000</v>
      </c>
      <c r="M811" s="78">
        <f>50000+40000-20000</f>
        <v>70000</v>
      </c>
      <c r="N811" s="78">
        <f>50000+40000</f>
        <v>90000</v>
      </c>
      <c r="O811" s="78"/>
    </row>
    <row r="812" spans="1:16" ht="10.5" customHeight="1" x14ac:dyDescent="0.25">
      <c r="A812" s="20"/>
      <c r="B812" s="22"/>
      <c r="C812" s="15"/>
      <c r="D812" s="15"/>
      <c r="E812" s="32"/>
      <c r="F812" s="73"/>
      <c r="G812" s="73"/>
      <c r="H812" s="120"/>
      <c r="I812" s="120"/>
      <c r="J812" s="368"/>
      <c r="K812" s="120"/>
      <c r="L812" s="73"/>
      <c r="M812" s="73"/>
      <c r="N812" s="73"/>
      <c r="O812" s="70"/>
    </row>
    <row r="813" spans="1:16" x14ac:dyDescent="0.25">
      <c r="A813" s="20"/>
      <c r="B813" s="22"/>
      <c r="C813" s="15"/>
      <c r="D813" s="15"/>
      <c r="E813" s="27" t="s">
        <v>26</v>
      </c>
      <c r="F813" s="884">
        <f>F34+F780+F809+F811</f>
        <v>14824826.5</v>
      </c>
      <c r="G813" s="56">
        <f>G34+G780+G809+G811-1</f>
        <v>23366885.27</v>
      </c>
      <c r="H813" s="56">
        <f>Korisnici!H34+H780+H809+H811</f>
        <v>11531432.85</v>
      </c>
      <c r="I813" s="56">
        <f>Korisnici!I34+I780+I809+I811</f>
        <v>2633556</v>
      </c>
      <c r="J813" s="56">
        <f>Korisnici!J34+J780+J809+J811</f>
        <v>9026326.9800000004</v>
      </c>
      <c r="K813" s="56">
        <f>Korisnici!K34+K780+K809+K811</f>
        <v>3491051.68</v>
      </c>
      <c r="L813" s="56">
        <f>Korisnici!L34+L780+L809+L811</f>
        <v>26682367.509999998</v>
      </c>
      <c r="M813" s="56">
        <f>Korisnici!M34+M780+M809+M811</f>
        <v>21893904.449999999</v>
      </c>
      <c r="N813" s="56">
        <f>Korisnici!N34+N780+N809+N811</f>
        <v>19772172.449999999</v>
      </c>
      <c r="O813" s="56"/>
      <c r="P813" s="755">
        <f>14824826-14761454</f>
        <v>63372</v>
      </c>
    </row>
    <row r="814" spans="1:16" x14ac:dyDescent="0.25">
      <c r="A814" s="461"/>
      <c r="B814" s="462"/>
      <c r="C814" s="463"/>
      <c r="D814" s="463"/>
      <c r="E814" s="464"/>
      <c r="O814" s="265"/>
    </row>
    <row r="815" spans="1:16" x14ac:dyDescent="0.25">
      <c r="A815" s="461"/>
      <c r="B815" s="462"/>
      <c r="C815" s="463"/>
      <c r="D815" s="463"/>
      <c r="E815" s="464"/>
      <c r="O815" s="265"/>
      <c r="P815" s="818"/>
    </row>
    <row r="816" spans="1:16" x14ac:dyDescent="0.25">
      <c r="A816" s="461"/>
      <c r="B816" s="462"/>
      <c r="C816" s="463"/>
      <c r="D816" s="463"/>
      <c r="E816" s="464"/>
      <c r="O816" s="265"/>
      <c r="P816" s="818"/>
    </row>
    <row r="817" spans="1:17" x14ac:dyDescent="0.25">
      <c r="A817" s="461"/>
      <c r="B817" s="462"/>
      <c r="C817" s="463"/>
      <c r="D817" s="463"/>
      <c r="E817" s="464"/>
      <c r="O817" s="265"/>
      <c r="P817" s="818"/>
    </row>
    <row r="818" spans="1:17" x14ac:dyDescent="0.25">
      <c r="A818" s="461"/>
      <c r="B818" s="462"/>
      <c r="C818" s="463"/>
      <c r="D818" s="463"/>
      <c r="E818" s="464"/>
      <c r="F818" s="464"/>
      <c r="G818" s="704"/>
      <c r="H818" s="704"/>
      <c r="I818" s="704"/>
      <c r="J818" s="704"/>
      <c r="K818" s="704"/>
      <c r="L818" s="704"/>
      <c r="M818" s="727"/>
      <c r="N818" s="727"/>
      <c r="O818" s="265"/>
      <c r="P818" s="818"/>
    </row>
    <row r="819" spans="1:17" s="705" customFormat="1" x14ac:dyDescent="0.25">
      <c r="A819" s="14"/>
      <c r="B819" s="291"/>
      <c r="C819" s="15"/>
      <c r="D819" s="15"/>
      <c r="E819" s="243"/>
      <c r="F819" s="243"/>
      <c r="G819" s="727"/>
      <c r="H819" s="727"/>
      <c r="I819" s="727"/>
      <c r="J819" s="727"/>
      <c r="K819" s="727"/>
      <c r="L819" s="727"/>
      <c r="M819" s="727"/>
      <c r="N819" s="727"/>
      <c r="O819" s="265"/>
      <c r="P819" s="755"/>
      <c r="Q819" s="805"/>
    </row>
    <row r="820" spans="1:17" s="705" customFormat="1" x14ac:dyDescent="0.25">
      <c r="A820" s="14"/>
      <c r="B820" s="291"/>
      <c r="C820" s="15"/>
      <c r="D820" s="15"/>
      <c r="E820" s="243"/>
      <c r="F820" s="243"/>
      <c r="G820" s="727"/>
      <c r="H820" s="727"/>
      <c r="I820" s="727"/>
      <c r="J820" s="727"/>
      <c r="K820" s="727"/>
      <c r="L820" s="727"/>
      <c r="M820" s="727"/>
      <c r="N820" s="727"/>
      <c r="O820" s="265"/>
      <c r="P820" s="755"/>
      <c r="Q820" s="805"/>
    </row>
    <row r="821" spans="1:17" s="705" customFormat="1" ht="16.5" x14ac:dyDescent="0.25">
      <c r="A821" s="1073" t="s">
        <v>566</v>
      </c>
      <c r="B821" s="1073"/>
      <c r="C821" s="1073"/>
      <c r="D821" s="1073"/>
      <c r="E821" s="1073"/>
      <c r="F821" s="1073"/>
      <c r="G821" s="1073"/>
      <c r="H821" s="1073"/>
      <c r="I821" s="1073"/>
      <c r="J821" s="1073"/>
      <c r="K821" s="1073"/>
      <c r="L821" s="1073"/>
      <c r="M821" s="1073"/>
      <c r="N821" s="1073"/>
      <c r="O821" s="1073"/>
      <c r="P821" s="755"/>
      <c r="Q821" s="805"/>
    </row>
    <row r="822" spans="1:17" s="705" customFormat="1" ht="45" customHeight="1" x14ac:dyDescent="0.25">
      <c r="A822" s="1083" t="s">
        <v>567</v>
      </c>
      <c r="B822" s="1083"/>
      <c r="C822" s="1083"/>
      <c r="D822" s="1083"/>
      <c r="E822" s="1083"/>
      <c r="F822" s="1083"/>
      <c r="G822" s="1083"/>
      <c r="H822" s="1083"/>
      <c r="I822" s="1083"/>
      <c r="J822" s="1083"/>
      <c r="K822" s="1083"/>
      <c r="L822" s="1083"/>
      <c r="M822" s="1083"/>
      <c r="N822" s="1083"/>
      <c r="O822" s="790"/>
      <c r="P822" s="755"/>
      <c r="Q822" s="805"/>
    </row>
    <row r="823" spans="1:17" s="705" customFormat="1" ht="20.25" customHeight="1" x14ac:dyDescent="0.25">
      <c r="A823" s="789"/>
      <c r="B823" s="789"/>
      <c r="C823" s="789"/>
      <c r="D823" s="789"/>
      <c r="E823" s="789"/>
      <c r="F823" s="789"/>
      <c r="G823" s="789"/>
      <c r="H823" s="789"/>
      <c r="I823" s="789"/>
      <c r="J823" s="789"/>
      <c r="K823" s="789"/>
      <c r="L823" s="789"/>
      <c r="M823" s="789"/>
      <c r="N823" s="789"/>
      <c r="O823" s="790"/>
      <c r="P823" s="755"/>
      <c r="Q823" s="805"/>
    </row>
    <row r="824" spans="1:17" s="705" customFormat="1" ht="16.5" x14ac:dyDescent="0.25">
      <c r="A824" s="1073" t="s">
        <v>111</v>
      </c>
      <c r="B824" s="1073"/>
      <c r="C824" s="1073"/>
      <c r="D824" s="1073"/>
      <c r="E824" s="1073"/>
      <c r="F824" s="1073"/>
      <c r="G824" s="1073"/>
      <c r="H824" s="1073"/>
      <c r="I824" s="1073"/>
      <c r="J824" s="1073"/>
      <c r="K824" s="1073"/>
      <c r="L824" s="1073"/>
      <c r="M824" s="1073"/>
      <c r="N824" s="1073"/>
      <c r="O824" s="1073"/>
      <c r="P824" s="755"/>
      <c r="Q824" s="805"/>
    </row>
    <row r="825" spans="1:17" s="705" customFormat="1" ht="9.75" customHeight="1" x14ac:dyDescent="0.25">
      <c r="A825" s="792"/>
      <c r="B825" s="806"/>
      <c r="C825" s="792"/>
      <c r="D825" s="792"/>
      <c r="E825" s="792"/>
      <c r="F825" s="835"/>
      <c r="G825" s="807"/>
      <c r="H825" s="807"/>
      <c r="I825" s="807"/>
      <c r="J825" s="807"/>
      <c r="K825" s="807"/>
      <c r="L825" s="807"/>
      <c r="M825" s="791"/>
      <c r="N825" s="792"/>
      <c r="O825" s="793"/>
      <c r="P825" s="755"/>
      <c r="Q825" s="805"/>
    </row>
    <row r="826" spans="1:17" s="705" customFormat="1" ht="16.5" x14ac:dyDescent="0.25">
      <c r="A826" s="1074" t="s">
        <v>1077</v>
      </c>
      <c r="B826" s="1074"/>
      <c r="C826" s="1074"/>
      <c r="D826" s="1074"/>
      <c r="E826" s="1074"/>
      <c r="F826" s="1074"/>
      <c r="G826" s="1074"/>
      <c r="H826" s="1074"/>
      <c r="I826" s="1074"/>
      <c r="J826" s="1074"/>
      <c r="K826" s="1074"/>
      <c r="L826" s="1074"/>
      <c r="M826" s="1074"/>
      <c r="N826" s="1074"/>
      <c r="O826" s="1074"/>
      <c r="P826" s="755"/>
      <c r="Q826" s="805"/>
    </row>
    <row r="827" spans="1:17" s="705" customFormat="1" ht="13.5" customHeight="1" x14ac:dyDescent="0.25">
      <c r="A827" s="792"/>
      <c r="B827" s="806"/>
      <c r="C827" s="792"/>
      <c r="D827" s="794"/>
      <c r="E827" s="794"/>
      <c r="F827" s="836"/>
      <c r="G827" s="808"/>
      <c r="H827" s="808"/>
      <c r="I827" s="808"/>
      <c r="J827" s="808"/>
      <c r="K827" s="808"/>
      <c r="L827" s="808"/>
      <c r="M827" s="794"/>
      <c r="N827" s="794"/>
      <c r="O827" s="795"/>
      <c r="P827" s="755"/>
      <c r="Q827" s="805"/>
    </row>
    <row r="828" spans="1:17" s="705" customFormat="1" ht="15" customHeight="1" x14ac:dyDescent="0.25">
      <c r="A828" s="792"/>
      <c r="B828" s="806"/>
      <c r="C828" s="15"/>
      <c r="D828" s="15"/>
      <c r="E828" s="15"/>
      <c r="F828" s="15"/>
      <c r="G828" s="808"/>
      <c r="H828" s="815"/>
      <c r="I828" s="815"/>
      <c r="J828" s="815"/>
      <c r="K828" s="815"/>
      <c r="L828" s="815" t="s">
        <v>1179</v>
      </c>
      <c r="M828" s="676"/>
      <c r="N828" s="676"/>
      <c r="O828" s="795"/>
      <c r="P828" s="755"/>
      <c r="Q828" s="805"/>
    </row>
    <row r="829" spans="1:17" s="705" customFormat="1" ht="15" customHeight="1" x14ac:dyDescent="0.25">
      <c r="A829" s="792"/>
      <c r="B829" s="806"/>
      <c r="C829" s="15"/>
      <c r="D829" s="15"/>
      <c r="E829" s="15"/>
      <c r="F829" s="15"/>
      <c r="G829" s="783"/>
      <c r="H829" s="816"/>
      <c r="I829" s="816"/>
      <c r="J829" s="816"/>
      <c r="K829" s="816"/>
      <c r="L829" s="816" t="s">
        <v>1180</v>
      </c>
      <c r="M829" s="796"/>
      <c r="N829" s="796"/>
      <c r="O829" s="797"/>
      <c r="P829" s="755"/>
      <c r="Q829" s="805"/>
    </row>
    <row r="830" spans="1:17" s="705" customFormat="1" ht="16.5" x14ac:dyDescent="0.25">
      <c r="A830" s="792"/>
      <c r="B830" s="806"/>
      <c r="C830" s="809"/>
      <c r="D830" s="15"/>
      <c r="E830" s="15"/>
      <c r="F830" s="15"/>
      <c r="G830" s="783"/>
      <c r="H830" s="816"/>
      <c r="I830" s="816"/>
      <c r="J830" s="816"/>
      <c r="K830" s="816"/>
      <c r="L830" s="816" t="s">
        <v>1181</v>
      </c>
      <c r="M830" s="796"/>
      <c r="N830" s="796"/>
      <c r="O830" s="797"/>
      <c r="P830" s="755"/>
      <c r="Q830" s="805"/>
    </row>
    <row r="831" spans="1:17" s="705" customFormat="1" ht="16.5" x14ac:dyDescent="0.25">
      <c r="A831" s="798"/>
      <c r="B831" s="810"/>
      <c r="C831" s="811" t="s">
        <v>186</v>
      </c>
      <c r="D831" s="808"/>
      <c r="E831" s="798"/>
      <c r="F831" s="798"/>
      <c r="G831" s="808"/>
      <c r="H831" s="808"/>
      <c r="I831" s="808"/>
      <c r="J831" s="808"/>
      <c r="K831" s="808"/>
      <c r="L831" s="808"/>
      <c r="M831" s="798"/>
      <c r="N831" s="798"/>
      <c r="O831" s="788"/>
      <c r="P831" s="755"/>
      <c r="Q831" s="805"/>
    </row>
    <row r="832" spans="1:17" s="705" customFormat="1" ht="16.5" x14ac:dyDescent="0.25">
      <c r="A832" s="798"/>
      <c r="B832" s="810"/>
      <c r="C832" s="811" t="s">
        <v>112</v>
      </c>
      <c r="D832" s="807"/>
      <c r="E832" s="798"/>
      <c r="F832" s="798"/>
      <c r="G832" s="808"/>
      <c r="H832" s="808"/>
      <c r="I832" s="808"/>
      <c r="J832" s="808"/>
      <c r="K832" s="808"/>
      <c r="L832" s="808"/>
      <c r="M832" s="798"/>
      <c r="N832" s="798"/>
      <c r="O832" s="788"/>
      <c r="P832" s="755"/>
      <c r="Q832" s="805"/>
    </row>
    <row r="833" spans="1:17" s="705" customFormat="1" ht="16.5" x14ac:dyDescent="0.25">
      <c r="A833" s="798"/>
      <c r="B833" s="810"/>
      <c r="C833" s="811" t="s">
        <v>568</v>
      </c>
      <c r="D833" s="807"/>
      <c r="E833" s="811"/>
      <c r="F833" s="811"/>
      <c r="G833" s="808"/>
      <c r="H833" s="808"/>
      <c r="I833" s="808"/>
      <c r="J833" s="808"/>
      <c r="K833" s="808"/>
      <c r="L833" s="808"/>
      <c r="M833" s="798"/>
      <c r="N833" s="798"/>
      <c r="O833" s="788"/>
      <c r="P833" s="755"/>
      <c r="Q833" s="805"/>
    </row>
    <row r="834" spans="1:17" s="705" customFormat="1" ht="16.5" x14ac:dyDescent="0.25">
      <c r="A834" s="798"/>
      <c r="B834" s="810"/>
      <c r="C834" s="811" t="s">
        <v>571</v>
      </c>
      <c r="D834" s="807"/>
      <c r="E834" s="811"/>
      <c r="F834" s="811"/>
      <c r="G834" s="808"/>
      <c r="H834" s="808"/>
      <c r="I834" s="808"/>
      <c r="J834" s="808"/>
      <c r="K834" s="808"/>
      <c r="L834" s="808"/>
      <c r="M834" s="798"/>
      <c r="N834" s="798"/>
      <c r="O834" s="788"/>
      <c r="P834" s="755"/>
      <c r="Q834" s="805"/>
    </row>
    <row r="835" spans="1:17" s="705" customFormat="1" ht="16.5" x14ac:dyDescent="0.25">
      <c r="A835" s="798"/>
      <c r="B835" s="810"/>
      <c r="C835" s="811" t="s">
        <v>570</v>
      </c>
      <c r="D835" s="807"/>
      <c r="E835" s="811"/>
      <c r="F835" s="811"/>
      <c r="G835" s="808"/>
      <c r="H835" s="808"/>
      <c r="I835" s="808"/>
      <c r="J835" s="808"/>
      <c r="K835" s="808"/>
      <c r="L835" s="808"/>
      <c r="M835" s="798"/>
      <c r="N835" s="798"/>
      <c r="O835" s="788"/>
      <c r="P835" s="755"/>
      <c r="Q835" s="805"/>
    </row>
    <row r="836" spans="1:17" s="705" customFormat="1" ht="16.5" x14ac:dyDescent="0.25">
      <c r="A836" s="798"/>
      <c r="B836" s="810"/>
      <c r="C836" s="811" t="s">
        <v>569</v>
      </c>
      <c r="D836" s="15"/>
      <c r="E836" s="15"/>
      <c r="F836" s="15"/>
      <c r="G836" s="808"/>
      <c r="H836" s="808"/>
      <c r="I836" s="808"/>
      <c r="J836" s="808"/>
      <c r="K836" s="808"/>
      <c r="L836" s="808"/>
      <c r="M836" s="798"/>
      <c r="N836" s="798"/>
      <c r="O836" s="788"/>
      <c r="P836" s="755"/>
      <c r="Q836" s="805"/>
    </row>
    <row r="837" spans="1:17" s="705" customFormat="1" x14ac:dyDescent="0.25">
      <c r="O837" s="756"/>
      <c r="P837" s="755"/>
      <c r="Q837" s="805"/>
    </row>
    <row r="838" spans="1:17" s="705" customFormat="1" x14ac:dyDescent="0.25">
      <c r="G838" s="727" t="s">
        <v>1193</v>
      </c>
      <c r="H838" s="727">
        <f t="shared" ref="H838:N838" si="184">H813-H839</f>
        <v>0</v>
      </c>
      <c r="I838" s="727">
        <f t="shared" si="184"/>
        <v>0</v>
      </c>
      <c r="J838" s="727">
        <f t="shared" si="184"/>
        <v>0</v>
      </c>
      <c r="K838" s="727">
        <f t="shared" si="184"/>
        <v>0</v>
      </c>
      <c r="L838" s="727">
        <f t="shared" si="184"/>
        <v>0</v>
      </c>
      <c r="M838" s="727">
        <f t="shared" si="184"/>
        <v>0</v>
      </c>
      <c r="N838" s="727">
        <f t="shared" si="184"/>
        <v>0</v>
      </c>
      <c r="O838" s="756"/>
      <c r="P838" s="755"/>
      <c r="Q838" s="805"/>
    </row>
    <row r="839" spans="1:17" s="705" customFormat="1" ht="16.5" x14ac:dyDescent="0.25">
      <c r="E839" s="808" t="s">
        <v>603</v>
      </c>
      <c r="F839" s="808"/>
      <c r="G839" s="727" t="s">
        <v>916</v>
      </c>
      <c r="H839" s="78">
        <f>'Izdaci '!E8</f>
        <v>11531432.85</v>
      </c>
      <c r="I839" s="78">
        <f>'Izdaci '!F8</f>
        <v>2633556</v>
      </c>
      <c r="J839" s="78">
        <f>'Izdaci '!G8</f>
        <v>9026326.9800000004</v>
      </c>
      <c r="K839" s="78">
        <f>'Izdaci '!H8</f>
        <v>3491051.68</v>
      </c>
      <c r="L839" s="78">
        <f>'Izdaci '!I8</f>
        <v>26682367.510000002</v>
      </c>
      <c r="M839" s="78">
        <f>'Izdaci '!J8</f>
        <v>21893904.449999999</v>
      </c>
      <c r="N839" s="78">
        <f>'Izdaci '!K8</f>
        <v>19772172.449999999</v>
      </c>
      <c r="O839" s="756"/>
      <c r="P839" s="755"/>
      <c r="Q839" s="805"/>
    </row>
    <row r="840" spans="1:17" s="705" customFormat="1" x14ac:dyDescent="0.25">
      <c r="D840" s="15" t="s">
        <v>649</v>
      </c>
      <c r="E840" s="15"/>
      <c r="F840" s="15"/>
      <c r="G840" s="824" t="s">
        <v>917</v>
      </c>
      <c r="H840" s="825">
        <f>PRIMICI!E8</f>
        <v>11531433</v>
      </c>
      <c r="I840" s="825">
        <f>PRIMICI!F8</f>
        <v>2633556</v>
      </c>
      <c r="J840" s="825">
        <f>PRIMICI!G8</f>
        <v>9026327</v>
      </c>
      <c r="K840" s="825">
        <f>PRIMICI!H8</f>
        <v>3491051.68</v>
      </c>
      <c r="L840" s="825">
        <f>H840+I840+J840+K840</f>
        <v>26682367.68</v>
      </c>
      <c r="M840" s="825">
        <f>PRIMICI!J8</f>
        <v>21893904</v>
      </c>
      <c r="N840" s="825">
        <f>PRIMICI!K8</f>
        <v>19772172</v>
      </c>
      <c r="O840" s="756"/>
      <c r="P840" s="755"/>
      <c r="Q840" s="805"/>
    </row>
    <row r="841" spans="1:17" s="744" customFormat="1" x14ac:dyDescent="0.25">
      <c r="D841" s="740"/>
      <c r="E841" s="740"/>
      <c r="F841" s="740"/>
      <c r="G841" s="704"/>
      <c r="H841" s="826">
        <f t="shared" ref="H841:N841" si="185">H813-H840</f>
        <v>-0.15000000037252903</v>
      </c>
      <c r="I841" s="826">
        <f t="shared" si="185"/>
        <v>0</v>
      </c>
      <c r="J841" s="826">
        <f t="shared" si="185"/>
        <v>-1.9999999552965164E-2</v>
      </c>
      <c r="K841" s="826">
        <f t="shared" si="185"/>
        <v>0</v>
      </c>
      <c r="L841" s="826">
        <f t="shared" si="185"/>
        <v>-0.17000000178813934</v>
      </c>
      <c r="M841" s="826">
        <f t="shared" si="185"/>
        <v>0.44999999925494194</v>
      </c>
      <c r="N841" s="826">
        <f t="shared" si="185"/>
        <v>0.44999999925494194</v>
      </c>
      <c r="O841" s="756"/>
      <c r="P841" s="755"/>
      <c r="Q841" s="746"/>
    </row>
    <row r="842" spans="1:17" s="744" customFormat="1" ht="16.5" x14ac:dyDescent="0.25">
      <c r="D842" s="740"/>
      <c r="E842" s="740"/>
      <c r="F842" s="740"/>
      <c r="G842" s="745">
        <f>PRIMICI!E8</f>
        <v>11531433</v>
      </c>
      <c r="H842" s="745"/>
      <c r="I842" s="745"/>
      <c r="J842" s="745"/>
      <c r="K842" s="745"/>
      <c r="L842" s="745"/>
      <c r="M842" s="791"/>
      <c r="N842" s="791"/>
      <c r="O842" s="756"/>
      <c r="P842" s="755"/>
      <c r="Q842" s="746"/>
    </row>
    <row r="843" spans="1:17" s="744" customFormat="1" ht="16.5" x14ac:dyDescent="0.25">
      <c r="D843" s="740"/>
      <c r="E843" s="740"/>
      <c r="F843" s="740"/>
      <c r="G843" s="745">
        <f>PRIMICI!E142</f>
        <v>1418917</v>
      </c>
      <c r="H843" s="745"/>
      <c r="I843" s="745"/>
      <c r="J843" s="745"/>
      <c r="K843" s="745"/>
      <c r="L843" s="745"/>
      <c r="M843" s="791"/>
      <c r="N843" s="791"/>
      <c r="O843" s="756"/>
      <c r="P843" s="755"/>
      <c r="Q843" s="746"/>
    </row>
    <row r="844" spans="1:17" s="744" customFormat="1" ht="16.5" x14ac:dyDescent="0.25">
      <c r="D844" s="740"/>
      <c r="E844" s="740"/>
      <c r="F844" s="740"/>
      <c r="G844" s="745">
        <f t="shared" ref="G844" si="186">SUM(G842:G843)</f>
        <v>12950350</v>
      </c>
      <c r="H844" s="745"/>
      <c r="I844" s="745"/>
      <c r="J844" s="745"/>
      <c r="K844" s="745"/>
      <c r="L844" s="745"/>
      <c r="M844" s="791"/>
      <c r="N844" s="791"/>
      <c r="O844" s="756"/>
      <c r="P844" s="755"/>
      <c r="Q844" s="746"/>
    </row>
    <row r="845" spans="1:17" s="744" customFormat="1" x14ac:dyDescent="0.25">
      <c r="M845" s="705"/>
      <c r="N845" s="705"/>
      <c r="O845" s="756"/>
      <c r="P845" s="755"/>
      <c r="Q845" s="746"/>
    </row>
    <row r="846" spans="1:17" s="744" customFormat="1" x14ac:dyDescent="0.25">
      <c r="M846" s="705"/>
      <c r="N846" s="705"/>
      <c r="O846" s="756"/>
      <c r="P846" s="755"/>
      <c r="Q846" s="746"/>
    </row>
    <row r="847" spans="1:17" s="744" customFormat="1" x14ac:dyDescent="0.25">
      <c r="M847" s="705"/>
      <c r="N847" s="705"/>
      <c r="O847" s="756"/>
      <c r="P847" s="755"/>
      <c r="Q847" s="746"/>
    </row>
    <row r="848" spans="1:17" s="744" customFormat="1" x14ac:dyDescent="0.25">
      <c r="M848" s="705"/>
      <c r="N848" s="705"/>
      <c r="O848" s="756"/>
      <c r="P848" s="755"/>
      <c r="Q848" s="746"/>
    </row>
    <row r="849" spans="13:17" s="744" customFormat="1" x14ac:dyDescent="0.25">
      <c r="M849" s="705"/>
      <c r="N849" s="705"/>
      <c r="O849" s="756"/>
      <c r="P849" s="755"/>
      <c r="Q849" s="746"/>
    </row>
    <row r="850" spans="13:17" s="744" customFormat="1" x14ac:dyDescent="0.25">
      <c r="M850" s="705"/>
      <c r="N850" s="705"/>
      <c r="O850" s="756"/>
      <c r="P850" s="755"/>
      <c r="Q850" s="746"/>
    </row>
    <row r="851" spans="13:17" s="744" customFormat="1" x14ac:dyDescent="0.25">
      <c r="M851" s="705"/>
      <c r="N851" s="705"/>
      <c r="O851" s="756"/>
      <c r="P851" s="755"/>
      <c r="Q851" s="746"/>
    </row>
    <row r="852" spans="13:17" s="744" customFormat="1" x14ac:dyDescent="0.25">
      <c r="M852" s="705"/>
      <c r="N852" s="705"/>
      <c r="O852" s="756"/>
      <c r="P852" s="755"/>
      <c r="Q852" s="746"/>
    </row>
    <row r="853" spans="13:17" s="744" customFormat="1" x14ac:dyDescent="0.25">
      <c r="M853" s="705"/>
      <c r="N853" s="705"/>
      <c r="O853" s="756"/>
      <c r="P853" s="755"/>
      <c r="Q853" s="746"/>
    </row>
    <row r="854" spans="13:17" s="744" customFormat="1" x14ac:dyDescent="0.25">
      <c r="M854" s="705"/>
      <c r="N854" s="705"/>
      <c r="O854" s="756"/>
      <c r="P854" s="755"/>
      <c r="Q854" s="746"/>
    </row>
    <row r="855" spans="13:17" s="744" customFormat="1" x14ac:dyDescent="0.25">
      <c r="M855" s="705"/>
      <c r="N855" s="705"/>
      <c r="O855" s="756"/>
      <c r="P855" s="755"/>
      <c r="Q855" s="746"/>
    </row>
    <row r="856" spans="13:17" s="744" customFormat="1" x14ac:dyDescent="0.25">
      <c r="M856" s="705"/>
      <c r="N856" s="705"/>
      <c r="O856" s="756"/>
      <c r="P856" s="755"/>
      <c r="Q856" s="746"/>
    </row>
    <row r="857" spans="13:17" s="744" customFormat="1" x14ac:dyDescent="0.25">
      <c r="M857" s="705"/>
      <c r="N857" s="705"/>
      <c r="O857" s="756"/>
      <c r="P857" s="755"/>
      <c r="Q857" s="746"/>
    </row>
    <row r="858" spans="13:17" s="744" customFormat="1" x14ac:dyDescent="0.25">
      <c r="M858" s="705"/>
      <c r="N858" s="705"/>
      <c r="O858" s="756"/>
      <c r="P858" s="755"/>
      <c r="Q858" s="746"/>
    </row>
    <row r="859" spans="13:17" s="744" customFormat="1" x14ac:dyDescent="0.25">
      <c r="M859" s="705"/>
      <c r="N859" s="705"/>
      <c r="O859" s="756"/>
      <c r="P859" s="755"/>
      <c r="Q859" s="746"/>
    </row>
    <row r="860" spans="13:17" s="744" customFormat="1" x14ac:dyDescent="0.25">
      <c r="M860" s="705"/>
      <c r="N860" s="705"/>
      <c r="O860" s="756"/>
      <c r="P860" s="755"/>
      <c r="Q860" s="746"/>
    </row>
  </sheetData>
  <mergeCells count="10">
    <mergeCell ref="A821:O821"/>
    <mergeCell ref="A824:O824"/>
    <mergeCell ref="A826:O826"/>
    <mergeCell ref="A1:D1"/>
    <mergeCell ref="A2:N2"/>
    <mergeCell ref="A3:N3"/>
    <mergeCell ref="M6:N6"/>
    <mergeCell ref="H5:L5"/>
    <mergeCell ref="O368:T368"/>
    <mergeCell ref="A822:N822"/>
  </mergeCells>
  <pageMargins left="0.70866141732283472" right="0.70866141732283472" top="0.74803149606299213" bottom="0.74803149606299213" header="0.31496062992125984" footer="0.31496062992125984"/>
  <pageSetup paperSize="9" scale="68" firstPageNumber="12" fitToHeight="0" orientation="landscape" useFirstPageNumber="1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90" zoomScaleSheetLayoutView="90" workbookViewId="0">
      <selection activeCell="Q21" sqref="Q21"/>
    </sheetView>
  </sheetViews>
  <sheetFormatPr defaultRowHeight="12.75" x14ac:dyDescent="0.2"/>
  <cols>
    <col min="1" max="1" width="14.85546875" customWidth="1"/>
    <col min="2" max="2" width="31.5703125" bestFit="1" customWidth="1"/>
    <col min="3" max="3" width="17.85546875" bestFit="1" customWidth="1"/>
    <col min="4" max="4" width="11.5703125" customWidth="1"/>
    <col min="5" max="5" width="10" bestFit="1" customWidth="1"/>
    <col min="6" max="6" width="10.28515625" customWidth="1"/>
    <col min="7" max="7" width="9.85546875" bestFit="1" customWidth="1"/>
    <col min="8" max="8" width="11.42578125" customWidth="1"/>
    <col min="9" max="9" width="10.140625" bestFit="1" customWidth="1"/>
    <col min="11" max="11" width="11" bestFit="1" customWidth="1"/>
    <col min="12" max="12" width="12.5703125" customWidth="1"/>
  </cols>
  <sheetData>
    <row r="1" spans="1:11" x14ac:dyDescent="0.2">
      <c r="A1" t="s">
        <v>1004</v>
      </c>
    </row>
    <row r="2" spans="1:11" x14ac:dyDescent="0.2">
      <c r="A2" s="1084" t="s">
        <v>1005</v>
      </c>
      <c r="B2" s="1084"/>
      <c r="C2" s="950"/>
      <c r="D2" s="950"/>
      <c r="E2" s="950"/>
      <c r="F2" s="950"/>
      <c r="G2" s="950"/>
      <c r="H2" s="950"/>
      <c r="I2" s="950"/>
      <c r="J2" s="950"/>
      <c r="K2" s="950"/>
    </row>
    <row r="4" spans="1:11" ht="114.75" x14ac:dyDescent="0.2">
      <c r="A4" s="939" t="s">
        <v>1006</v>
      </c>
      <c r="B4" s="940" t="s">
        <v>1007</v>
      </c>
      <c r="C4" s="941" t="s">
        <v>1068</v>
      </c>
      <c r="D4" s="941" t="s">
        <v>1008</v>
      </c>
      <c r="E4" s="941" t="s">
        <v>1009</v>
      </c>
      <c r="F4" s="941" t="s">
        <v>1010</v>
      </c>
      <c r="G4" s="941" t="s">
        <v>1011</v>
      </c>
      <c r="H4" s="941" t="s">
        <v>1012</v>
      </c>
      <c r="I4" s="941" t="s">
        <v>1013</v>
      </c>
      <c r="J4" s="941" t="s">
        <v>1014</v>
      </c>
      <c r="K4" s="941" t="s">
        <v>1015</v>
      </c>
    </row>
    <row r="5" spans="1:11" x14ac:dyDescent="0.2">
      <c r="A5" s="942" t="s">
        <v>1046</v>
      </c>
      <c r="B5" s="942" t="s">
        <v>1016</v>
      </c>
      <c r="C5" s="705"/>
      <c r="D5" s="943">
        <f>Korisnici!H21</f>
        <v>250000</v>
      </c>
      <c r="E5" s="943">
        <f>Korisnici!H22-Korisnici!H21</f>
        <v>116000</v>
      </c>
      <c r="F5" s="943">
        <f>Korisnici!H29</f>
        <v>130000</v>
      </c>
      <c r="G5" s="942"/>
      <c r="H5" s="943">
        <f>Korisnici!H32</f>
        <v>35000</v>
      </c>
      <c r="I5" s="942"/>
      <c r="J5" s="942"/>
      <c r="K5" s="944">
        <f>SUM(C5:J5)</f>
        <v>531000</v>
      </c>
    </row>
    <row r="6" spans="1:11" x14ac:dyDescent="0.2">
      <c r="A6" s="942" t="s">
        <v>1047</v>
      </c>
      <c r="B6" s="942" t="s">
        <v>1017</v>
      </c>
      <c r="C6" s="943">
        <f>Korisnici!H42+Korisnici!H44</f>
        <v>99499.8</v>
      </c>
      <c r="E6" s="943">
        <f>Korisnici!H55</f>
        <v>11400</v>
      </c>
      <c r="F6" s="942"/>
      <c r="G6" s="942"/>
      <c r="H6" s="943">
        <f>Korisnici!H57</f>
        <v>10000</v>
      </c>
      <c r="I6" s="942"/>
      <c r="J6" s="942"/>
      <c r="K6" s="944">
        <f>SUM(C6:J6)</f>
        <v>120899.8</v>
      </c>
    </row>
    <row r="7" spans="1:11" x14ac:dyDescent="0.2">
      <c r="A7" s="942" t="s">
        <v>1048</v>
      </c>
      <c r="B7" s="942" t="s">
        <v>1018</v>
      </c>
      <c r="C7" s="943">
        <f>Korisnici!H66+Korisnici!H68</f>
        <v>434509.6</v>
      </c>
      <c r="D7" s="943"/>
      <c r="E7" s="943">
        <f>Korisnici!H88</f>
        <v>87140</v>
      </c>
      <c r="F7" s="943">
        <f>Korisnici!H94</f>
        <v>9200</v>
      </c>
      <c r="G7" s="942"/>
      <c r="H7" s="943">
        <f>Korisnici!H98</f>
        <v>5000</v>
      </c>
      <c r="I7" s="943">
        <f>Korisnici!H811</f>
        <v>60000</v>
      </c>
      <c r="J7" s="943"/>
      <c r="K7" s="944">
        <f t="shared" ref="K7:K21" si="0">SUM(C7:J7)</f>
        <v>595849.6</v>
      </c>
    </row>
    <row r="8" spans="1:11" x14ac:dyDescent="0.2">
      <c r="A8" s="942" t="s">
        <v>1049</v>
      </c>
      <c r="B8" s="942" t="s">
        <v>1019</v>
      </c>
      <c r="C8" s="943">
        <f>Korisnici!H109+Korisnici!H111</f>
        <v>355571.6</v>
      </c>
      <c r="D8" s="943"/>
      <c r="E8" s="943">
        <f>Korisnici!H126</f>
        <v>43900</v>
      </c>
      <c r="F8" s="943">
        <f>Korisnici!H128</f>
        <v>30000</v>
      </c>
      <c r="G8" s="942"/>
      <c r="H8" s="943">
        <f>Korisnici!H140</f>
        <v>48395</v>
      </c>
      <c r="I8" s="942"/>
      <c r="J8" s="943">
        <f>Korisnici!H132+Korisnici!L134+Korisnici!L135</f>
        <v>271150</v>
      </c>
      <c r="K8" s="944">
        <f t="shared" si="0"/>
        <v>749016.6</v>
      </c>
    </row>
    <row r="9" spans="1:11" ht="25.5" x14ac:dyDescent="0.2">
      <c r="A9" s="942" t="s">
        <v>1050</v>
      </c>
      <c r="B9" s="945" t="s">
        <v>1020</v>
      </c>
      <c r="C9" s="943">
        <f>Korisnici!H149+Korisnici!H151+Korisnici!H152</f>
        <v>756224.2</v>
      </c>
      <c r="D9" s="943"/>
      <c r="E9" s="943">
        <f>Korisnici!L170</f>
        <v>99600</v>
      </c>
      <c r="F9" s="943">
        <f>Korisnici!L267</f>
        <v>3352881.4</v>
      </c>
      <c r="G9" s="943">
        <f>Korisnici!L277</f>
        <v>120000</v>
      </c>
      <c r="H9" s="943">
        <f>Korisnici!L281</f>
        <v>20000</v>
      </c>
      <c r="I9" s="942"/>
      <c r="J9" s="942"/>
      <c r="K9" s="944">
        <f t="shared" si="0"/>
        <v>4348705.5999999996</v>
      </c>
    </row>
    <row r="10" spans="1:11" ht="25.5" x14ac:dyDescent="0.2">
      <c r="A10" s="942" t="s">
        <v>1051</v>
      </c>
      <c r="B10" s="945" t="s">
        <v>1056</v>
      </c>
      <c r="C10" s="946">
        <f>Korisnici!H290+Korisnici!H292</f>
        <v>241699.06</v>
      </c>
      <c r="D10" s="946"/>
      <c r="E10" s="946">
        <f>Korisnici!H304</f>
        <v>20460</v>
      </c>
      <c r="F10" s="946">
        <f>Korisnici!H309</f>
        <v>116380</v>
      </c>
      <c r="G10" s="946">
        <f>Korisnici!L357</f>
        <v>858512</v>
      </c>
      <c r="H10" s="946">
        <f>Korisnici!L419</f>
        <v>9000564.9800000004</v>
      </c>
      <c r="I10" s="945"/>
      <c r="J10" s="945"/>
      <c r="K10" s="944">
        <f t="shared" si="0"/>
        <v>10237616.040000001</v>
      </c>
    </row>
    <row r="11" spans="1:11" ht="25.5" x14ac:dyDescent="0.2">
      <c r="A11" s="942" t="s">
        <v>1052</v>
      </c>
      <c r="B11" s="945" t="s">
        <v>1057</v>
      </c>
      <c r="C11" s="943">
        <f>Korisnici!H428+Korisnici!H430</f>
        <v>568121</v>
      </c>
      <c r="D11" s="943"/>
      <c r="E11" s="943">
        <f>Korisnici!L446</f>
        <v>172060</v>
      </c>
      <c r="F11" s="943">
        <f>Korisnici!L456</f>
        <v>94000</v>
      </c>
      <c r="G11" s="943">
        <f>Korisnici!L458</f>
        <v>0</v>
      </c>
      <c r="H11" s="943">
        <f>Korisnici!L460+Korisnici!L461</f>
        <v>25400</v>
      </c>
      <c r="I11" s="942"/>
      <c r="J11" s="942"/>
      <c r="K11" s="944">
        <f t="shared" si="0"/>
        <v>859581</v>
      </c>
    </row>
    <row r="12" spans="1:11" ht="25.5" customHeight="1" x14ac:dyDescent="0.2">
      <c r="A12" s="942" t="s">
        <v>1053</v>
      </c>
      <c r="B12" s="947" t="s">
        <v>1058</v>
      </c>
      <c r="C12" s="946">
        <f>Korisnici!H470+Korisnici!H472</f>
        <v>243184.2</v>
      </c>
      <c r="D12" s="946"/>
      <c r="E12" s="946">
        <f>Korisnici!L484</f>
        <v>58800</v>
      </c>
      <c r="F12" s="946">
        <f>Korisnici!L489</f>
        <v>31000</v>
      </c>
      <c r="G12" s="946"/>
      <c r="H12" s="946">
        <f>Korisnici!L494</f>
        <v>103000</v>
      </c>
      <c r="I12" s="945"/>
      <c r="J12" s="946"/>
      <c r="K12" s="944">
        <f t="shared" si="0"/>
        <v>435984.2</v>
      </c>
    </row>
    <row r="13" spans="1:11" ht="25.5" x14ac:dyDescent="0.2">
      <c r="A13" s="942" t="s">
        <v>1054</v>
      </c>
      <c r="B13" s="948" t="s">
        <v>1021</v>
      </c>
      <c r="C13" s="946">
        <f>Korisnici!H502+Korisnici!H504</f>
        <v>390950.40000000002</v>
      </c>
      <c r="D13" s="946"/>
      <c r="E13" s="946">
        <f>Korisnici!L518</f>
        <v>20780</v>
      </c>
      <c r="F13" s="946">
        <f>Korisnici!L520</f>
        <v>1000</v>
      </c>
      <c r="G13" s="946"/>
      <c r="H13" s="946">
        <f>Korisnici!L531</f>
        <v>648000</v>
      </c>
      <c r="I13" s="945"/>
      <c r="J13" s="946"/>
      <c r="K13" s="944">
        <f t="shared" si="0"/>
        <v>1060730.3999999999</v>
      </c>
    </row>
    <row r="14" spans="1:11" x14ac:dyDescent="0.2">
      <c r="A14" s="942" t="s">
        <v>1055</v>
      </c>
      <c r="B14" s="942" t="s">
        <v>1022</v>
      </c>
      <c r="C14" s="943">
        <f>Korisnici!H540+Korisnici!H542</f>
        <v>703449.4</v>
      </c>
      <c r="D14" s="943"/>
      <c r="E14" s="943">
        <f>Korisnici!L589</f>
        <v>640944.67999999993</v>
      </c>
      <c r="F14" s="943">
        <f>Korisnici!L597</f>
        <v>159270</v>
      </c>
      <c r="G14" s="943">
        <f>Korisnici!L602</f>
        <v>0</v>
      </c>
      <c r="H14" s="943">
        <f>Korisnici!L622</f>
        <v>1478643</v>
      </c>
      <c r="I14" s="942"/>
      <c r="J14" s="942"/>
      <c r="K14" s="944">
        <f t="shared" si="0"/>
        <v>2982307.08</v>
      </c>
    </row>
    <row r="15" spans="1:11" ht="26.25" customHeight="1" x14ac:dyDescent="0.2">
      <c r="A15" s="942"/>
      <c r="B15" s="956" t="s">
        <v>1060</v>
      </c>
      <c r="C15" s="957"/>
      <c r="D15" s="957"/>
      <c r="E15" s="957">
        <f>Korisnici!L557+Korisnici!L562+Korisnici!L563+Korisnici!L571+Korisnici!L574+Korisnici!L575+Korisnici!L576+Korisnici!L577+Korisnici!L579+Korisnici!L580+Korisnici!L581+Korisnici!L582+Korisnici!L588</f>
        <v>524045</v>
      </c>
      <c r="F15" s="957">
        <f>Korisnici!L597-Korisnici!L591-Korisnici!L596</f>
        <v>154270</v>
      </c>
      <c r="G15" s="957">
        <f>Korisnici!L602-Korisnici!L599-Korisnici!L601</f>
        <v>0</v>
      </c>
      <c r="H15" s="957">
        <f>Korisnici!L622-Korisnici!L621-Korisnici!L620</f>
        <v>726716</v>
      </c>
      <c r="I15" s="958"/>
      <c r="J15" s="958"/>
      <c r="K15" s="957">
        <f>SUM(C15:J15)</f>
        <v>1405031</v>
      </c>
    </row>
    <row r="16" spans="1:11" ht="25.5" x14ac:dyDescent="0.2">
      <c r="A16" s="942"/>
      <c r="B16" s="961" t="s">
        <v>1059</v>
      </c>
      <c r="C16" s="962"/>
      <c r="D16" s="962"/>
      <c r="E16" s="962">
        <f>Korisnici!L585</f>
        <v>-0.31999999999970896</v>
      </c>
      <c r="F16" s="962"/>
      <c r="G16" s="962">
        <f>Korisnici!L602</f>
        <v>0</v>
      </c>
      <c r="H16" s="962"/>
      <c r="I16" s="963"/>
      <c r="J16" s="963"/>
      <c r="K16" s="962">
        <f t="shared" ref="K16:K17" si="1">SUM(C16:J16)</f>
        <v>-0.31999999999970896</v>
      </c>
    </row>
    <row r="17" spans="1:12" x14ac:dyDescent="0.2">
      <c r="A17" s="942"/>
      <c r="B17" s="960" t="s">
        <v>1061</v>
      </c>
      <c r="C17" s="959"/>
      <c r="D17" s="959"/>
      <c r="E17" s="959"/>
      <c r="F17" s="959"/>
      <c r="G17" s="959"/>
      <c r="H17" s="959">
        <f>Korisnici!L620</f>
        <v>748927</v>
      </c>
      <c r="I17" s="960"/>
      <c r="J17" s="960"/>
      <c r="K17" s="959">
        <f t="shared" si="1"/>
        <v>748927</v>
      </c>
    </row>
    <row r="18" spans="1:12" x14ac:dyDescent="0.2">
      <c r="A18" s="942" t="s">
        <v>1063</v>
      </c>
      <c r="B18" s="945" t="s">
        <v>1062</v>
      </c>
      <c r="C18" s="946">
        <f>Korisnici!H633+Korisnici!H635</f>
        <v>417567.9</v>
      </c>
      <c r="D18" s="946"/>
      <c r="E18" s="946">
        <f>Korisnici!L677</f>
        <v>417920</v>
      </c>
      <c r="F18" s="946">
        <f>Korisnici!L680</f>
        <v>25000</v>
      </c>
      <c r="G18" s="945"/>
      <c r="H18" s="946">
        <f>Korisnici!L686</f>
        <v>25000</v>
      </c>
      <c r="I18" s="945"/>
      <c r="J18" s="946">
        <f>Korisnici!L688</f>
        <v>66000</v>
      </c>
      <c r="K18" s="944">
        <f t="shared" si="0"/>
        <v>951487.9</v>
      </c>
    </row>
    <row r="19" spans="1:12" x14ac:dyDescent="0.2">
      <c r="A19" s="942" t="s">
        <v>1064</v>
      </c>
      <c r="B19" s="945" t="s">
        <v>1065</v>
      </c>
      <c r="C19" s="946">
        <f>Korisnici!H696+Korisnici!H698</f>
        <v>90360.2</v>
      </c>
      <c r="D19" s="946"/>
      <c r="E19" s="946">
        <f>Korisnici!L708</f>
        <v>7600</v>
      </c>
      <c r="F19" s="946"/>
      <c r="G19" s="945"/>
      <c r="H19" s="946">
        <f>Korisnici!L710</f>
        <v>2500</v>
      </c>
      <c r="I19" s="945"/>
      <c r="J19" s="945"/>
      <c r="K19" s="944">
        <f>SUM(C19:J19)</f>
        <v>100460.2</v>
      </c>
    </row>
    <row r="20" spans="1:12" ht="25.5" x14ac:dyDescent="0.2">
      <c r="A20" s="942" t="s">
        <v>1066</v>
      </c>
      <c r="B20" s="945" t="s">
        <v>1067</v>
      </c>
      <c r="C20" s="946">
        <f>Korisnici!L719+Korisnici!L721</f>
        <v>423652.9</v>
      </c>
      <c r="D20" s="946"/>
      <c r="E20" s="946">
        <f>Korisnici!L751</f>
        <v>2277060</v>
      </c>
      <c r="F20" s="946">
        <f>Korisnici!L756</f>
        <v>225000</v>
      </c>
      <c r="G20" s="946">
        <f>Korisnici!L768</f>
        <v>200000</v>
      </c>
      <c r="H20" s="946">
        <f>Korisnici!L776</f>
        <v>223000</v>
      </c>
      <c r="I20" s="945"/>
      <c r="J20" s="945"/>
      <c r="K20" s="944">
        <f>SUM(C20:J20)</f>
        <v>3348712.9</v>
      </c>
    </row>
    <row r="21" spans="1:12" x14ac:dyDescent="0.2">
      <c r="A21" s="942" t="s">
        <v>1023</v>
      </c>
      <c r="B21" s="942" t="s">
        <v>1024</v>
      </c>
      <c r="C21" s="943">
        <f>Korisnici!L786+Korisnici!L788+Korisnici!L789</f>
        <v>172915.88999999998</v>
      </c>
      <c r="D21" s="943"/>
      <c r="E21" s="943">
        <f>Korisnici!L802</f>
        <v>132100.29999999999</v>
      </c>
      <c r="F21" s="943">
        <f>Korisnici!L805</f>
        <v>50000</v>
      </c>
      <c r="G21" s="942"/>
      <c r="H21" s="943">
        <f>Korisnici!L807</f>
        <v>5000</v>
      </c>
      <c r="I21" s="942"/>
      <c r="J21" s="942"/>
      <c r="K21" s="944">
        <f t="shared" si="0"/>
        <v>360016.18999999994</v>
      </c>
    </row>
    <row r="22" spans="1:12" x14ac:dyDescent="0.2">
      <c r="A22" s="942"/>
      <c r="B22" s="949" t="s">
        <v>1015</v>
      </c>
      <c r="C22" s="944">
        <f>SUM(C5:C21)</f>
        <v>4897706.1500000004</v>
      </c>
      <c r="D22" s="944">
        <f>SUM(D5:D21)</f>
        <v>250000</v>
      </c>
      <c r="E22" s="944">
        <f>SUM(E5:E21)-E15-E16-E17</f>
        <v>4105764.9799999991</v>
      </c>
      <c r="F22" s="944">
        <f t="shared" ref="F22:H22" si="2">SUM(F5:F21)-F15-F16-F17</f>
        <v>4223731.4000000004</v>
      </c>
      <c r="G22" s="944">
        <f t="shared" si="2"/>
        <v>1178512</v>
      </c>
      <c r="H22" s="944">
        <f t="shared" si="2"/>
        <v>11629502.98</v>
      </c>
      <c r="I22" s="944">
        <f>SUM(I5:I21)</f>
        <v>60000</v>
      </c>
      <c r="J22" s="944">
        <f>SUM(J5:J21)</f>
        <v>337150</v>
      </c>
      <c r="K22" s="1008">
        <f>SUM(K5:K21)-K15-K16-K17</f>
        <v>26682367.509999998</v>
      </c>
    </row>
    <row r="23" spans="1:12" x14ac:dyDescent="0.2">
      <c r="K23" s="944">
        <f>SUM(C22:J22)</f>
        <v>26682367.509999998</v>
      </c>
      <c r="L23" s="724">
        <f>K23-K22</f>
        <v>0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view="pageBreakPreview" zoomScaleSheetLayoutView="100" workbookViewId="0">
      <selection activeCell="D51" sqref="D51"/>
    </sheetView>
  </sheetViews>
  <sheetFormatPr defaultRowHeight="12.75" x14ac:dyDescent="0.2"/>
  <cols>
    <col min="3" max="3" width="36.5703125" customWidth="1"/>
    <col min="4" max="4" width="15.28515625" customWidth="1"/>
    <col min="5" max="5" width="11.5703125" customWidth="1"/>
    <col min="6" max="6" width="9.85546875" customWidth="1"/>
    <col min="7" max="7" width="13.140625" customWidth="1"/>
    <col min="8" max="8" width="11.140625" customWidth="1"/>
    <col min="9" max="9" width="17.42578125" customWidth="1"/>
    <col min="10" max="10" width="16.28515625" customWidth="1"/>
  </cols>
  <sheetData>
    <row r="1" spans="1:12" x14ac:dyDescent="0.2">
      <c r="A1" s="705" t="s">
        <v>1194</v>
      </c>
      <c r="E1" s="724">
        <f>Korisnici!L813-funkcionalna!D4</f>
        <v>0</v>
      </c>
    </row>
    <row r="2" spans="1:12" ht="41.25" customHeight="1" x14ac:dyDescent="0.2">
      <c r="A2" s="706" t="s">
        <v>711</v>
      </c>
      <c r="B2" s="707" t="s">
        <v>712</v>
      </c>
      <c r="C2" s="707" t="s">
        <v>713</v>
      </c>
      <c r="D2" s="708" t="s">
        <v>714</v>
      </c>
      <c r="E2" s="708" t="s">
        <v>714</v>
      </c>
      <c r="F2" s="708" t="s">
        <v>714</v>
      </c>
      <c r="G2" s="708" t="s">
        <v>714</v>
      </c>
      <c r="H2" s="708" t="s">
        <v>714</v>
      </c>
      <c r="I2" s="708" t="s">
        <v>714</v>
      </c>
      <c r="J2" s="708"/>
    </row>
    <row r="3" spans="1:12" x14ac:dyDescent="0.2">
      <c r="A3" s="709"/>
      <c r="B3" s="710"/>
      <c r="C3" s="710"/>
      <c r="D3" s="711">
        <v>1</v>
      </c>
      <c r="E3" s="711">
        <v>1</v>
      </c>
      <c r="F3" s="711">
        <v>1</v>
      </c>
      <c r="G3" s="711">
        <v>1</v>
      </c>
      <c r="H3" s="711">
        <v>1</v>
      </c>
      <c r="I3" s="711">
        <v>1</v>
      </c>
      <c r="J3" s="711"/>
    </row>
    <row r="4" spans="1:12" ht="24" x14ac:dyDescent="0.2">
      <c r="A4" s="709">
        <v>1</v>
      </c>
      <c r="B4" s="712"/>
      <c r="C4" s="712" t="s">
        <v>715</v>
      </c>
      <c r="D4" s="713">
        <f>SUM(D5+D14+D20+D27+D37+D44+D51+D58+D65+D74)</f>
        <v>26682367.509999998</v>
      </c>
      <c r="E4" s="713">
        <f t="shared" ref="E4" si="0">SUM(E5+E14+E20+E27+E37+E44+E51+E58+E65+E74)</f>
        <v>12759348</v>
      </c>
      <c r="F4" s="713">
        <f t="shared" ref="F4:I4" si="1">SUM(F5+F14+F20+F27+F37+F44+F51+F58+F65+F74)</f>
        <v>4211412</v>
      </c>
      <c r="G4" s="713">
        <f t="shared" si="1"/>
        <v>13585597.550000001</v>
      </c>
      <c r="H4" s="713">
        <f t="shared" si="1"/>
        <v>4551073.0999999996</v>
      </c>
      <c r="I4" s="713">
        <f t="shared" si="1"/>
        <v>30619105.52</v>
      </c>
      <c r="J4" s="713">
        <f t="shared" ref="J4" si="2">SUM(J5+J14+J20+J27+J37+J44+J51+J58+J65+J74)</f>
        <v>24972898.490000002</v>
      </c>
      <c r="K4" s="724">
        <f>I4-23366885</f>
        <v>7252220.5199999996</v>
      </c>
      <c r="L4" s="705" t="s">
        <v>875</v>
      </c>
    </row>
    <row r="5" spans="1:12" x14ac:dyDescent="0.2">
      <c r="A5" s="709">
        <v>2</v>
      </c>
      <c r="B5" s="714" t="s">
        <v>716</v>
      </c>
      <c r="C5" s="715" t="s">
        <v>717</v>
      </c>
      <c r="D5" s="716">
        <f t="shared" ref="D5" si="3">SUM(D6:D13)</f>
        <v>8598602.0500000007</v>
      </c>
      <c r="E5" s="716">
        <f t="shared" ref="E5" si="4">SUM(E6:E13)</f>
        <v>4920588</v>
      </c>
      <c r="F5" s="716">
        <f t="shared" ref="F5:I5" si="5">SUM(F6:F13)</f>
        <v>4500</v>
      </c>
      <c r="G5" s="716">
        <f t="shared" si="5"/>
        <v>1044500</v>
      </c>
      <c r="H5" s="716">
        <f t="shared" si="5"/>
        <v>179500</v>
      </c>
      <c r="I5" s="716">
        <f t="shared" si="5"/>
        <v>4669822.87</v>
      </c>
      <c r="J5" s="716">
        <f t="shared" ref="J5" si="6">SUM(J6:J13)</f>
        <v>9210838.4900000002</v>
      </c>
    </row>
    <row r="6" spans="1:12" ht="24" x14ac:dyDescent="0.2">
      <c r="A6" s="709">
        <v>3</v>
      </c>
      <c r="B6" s="717" t="s">
        <v>718</v>
      </c>
      <c r="C6" s="718" t="s">
        <v>719</v>
      </c>
      <c r="D6" s="719">
        <f>Korisnici!L34-Korisnici!L29+Korisnici!L59+Korisnici!L102-Korisnici!L87-Korisnici!L93-Korisnici!L100+Korisnici!L142-Korisnici!L132-Korisnici!L134-Korisnici!L135+Korisnici!L149+Korisnici!L151+Korisnici!L152+Korisnici!L170-Korisnici!L167+Korisnici!L263+Korisnici!L281+Korisnici!L290+Korisnici!L292+Korisnici!L304+Korisnici!L308+Korisnici!L428+Korisnici!L430+Korisnici!L446+Korisnici!L455+Korisnici!L460+Korisnici!L470+Korisnici!L472+Korisnici!L484+Korisnici!L488+Korisnici!L492+Korisnici!L493+Korisnici!L533+Korisnici!L719+Korisnici!L721+Korisnici!L723+Korisnici!L728+Korisnici!L737+Korisnici!L747+Korisnici!L748+Korisnici!L755+Korisnici!L811</f>
        <v>5311707.76</v>
      </c>
      <c r="E6" s="719">
        <f>[1]Korisnici!G31-[1]Korisnici!G26+[1]Korisnici!G55+[1]Korisnici!G97-[1]Korisnici!G89-[1]Korisnici!G95+[1]Korisnici!G136-[1]Korisnici!G127-[1]Korisnici!G129+[1]Korisnici!G143+[1]Korisnici!G145+[1]Korisnici!G146+[1]Korisnici!G162-[1]Korisnici!G160+[1]Korisnici!G242+[1]Korisnici!G253+[1]Korisnici!G262+[1]Korisnici!G264+[1]Korisnici!G266+[1]Korisnici!G271+[1]Korisnici!G279+[1]Korisnici!G288+[1]Korisnici!G289+[1]Korisnici!G298+[1]Korisnici!G436-[1]Korisnici!G420-[1]Korisnici!G424-[1]Korisnici!G425-[1]Korisnici!G433+[1]Korisnici!G467-[1]Korisnici!G458-[1]Korisnici!G463+[1]Korisnici!G503+[1]Korisnici!G701</f>
        <v>2807653</v>
      </c>
      <c r="F6" s="719">
        <f>[2]Korisnici!J23+[2]Korisnici!J33+[2]Korisnici!J60+[2]Korisnici!J107-[2]Korisnici!J87-[2]Korisnici!J88-[2]Korisnici!J98-[2]Korisnici!J105+[2]Korisnici!J146-[2]Korisnici!J137-[2]Korisnici!J139+[2]Korisnici!J153+[2]Korisnici!J155+[2]Korisnici!J156+[2]Korisnici!J177-[2]Korisnici!J170+[2]Korisnici!J263+[2]Korisnici!J277+[2]Korisnici!J286+[2]Korisnici!J288+[2]Korisnici!J290+[2]Korisnici!J295+[2]Korisnici!J303+[2]Korisnici!J312+[2]Korisnici!J313+[2]Korisnici!J322+[2]Korisnici!J411+[2]Korisnici!J430+[2]Korisnici!J432+[2]Korisnici!J448+[2]Korisnici!J456+[2]Korisnici!J461+[2]Korisnici!J496+[2]Korisnici!J532+[2]Korisnici!J729+4500</f>
        <v>4500</v>
      </c>
      <c r="G6" s="719">
        <f>[2]Korisnici!K23+[2]Korisnici!K33+[2]Korisnici!K60+[2]Korisnici!K107-[2]Korisnici!K87-[2]Korisnici!K88-[2]Korisnici!K98-[2]Korisnici!K105+[2]Korisnici!K146-[2]Korisnici!K137-[2]Korisnici!K139+[2]Korisnici!K153+[2]Korisnici!K155+[2]Korisnici!K156+[2]Korisnici!K177-[2]Korisnici!K170+[2]Korisnici!K263+[2]Korisnici!K277+[2]Korisnici!K286+[2]Korisnici!K288+[2]Korisnici!K290+[2]Korisnici!K295+[2]Korisnici!K303+[2]Korisnici!K312+[2]Korisnici!K313+[2]Korisnici!K322+[2]Korisnici!K411+[2]Korisnici!K430+[2]Korisnici!K432+[2]Korisnici!K448+[2]Korisnici!K456+[2]Korisnici!K461+[2]Korisnici!K496+[2]Korisnici!K532+[2]Korisnici!K729+4500</f>
        <v>34500</v>
      </c>
      <c r="H6" s="719">
        <f>[2]Korisnici!L23+[2]Korisnici!L33+[2]Korisnici!L60+[2]Korisnici!L107-[2]Korisnici!L87-[2]Korisnici!L88-[2]Korisnici!L98-[2]Korisnici!L105+[2]Korisnici!L146-[2]Korisnici!L137-[2]Korisnici!L139+[2]Korisnici!L153+[2]Korisnici!L155+[2]Korisnici!L156+[2]Korisnici!L177-[2]Korisnici!L170+[2]Korisnici!L263+[2]Korisnici!L277+[2]Korisnici!L286+[2]Korisnici!L288+[2]Korisnici!L290+[2]Korisnici!L295+[2]Korisnici!L303+[2]Korisnici!L312+[2]Korisnici!L313+[2]Korisnici!L322+[2]Korisnici!L411+[2]Korisnici!L430+[2]Korisnici!L432+[2]Korisnici!L448+[2]Korisnici!L456+[2]Korisnici!L461+[2]Korisnici!L496+[2]Korisnici!L532+[2]Korisnici!L729+4500</f>
        <v>4500</v>
      </c>
      <c r="I6" s="719">
        <f>[2]Korisnici!M23+[2]Korisnici!M33+[2]Korisnici!M60+[2]Korisnici!M107-[2]Korisnici!M87-[2]Korisnici!M88-[2]Korisnici!M98-[2]Korisnici!M105+[2]Korisnici!M146-[2]Korisnici!M137-[2]Korisnici!M139+[2]Korisnici!M153+[2]Korisnici!M155+[2]Korisnici!M156+[2]Korisnici!M177-[2]Korisnici!M170+[2]Korisnici!M263+[2]Korisnici!M277+[2]Korisnici!M286+[2]Korisnici!M288+[2]Korisnici!M290+[2]Korisnici!M295+[2]Korisnici!M303+[2]Korisnici!M312+[2]Korisnici!M313+[2]Korisnici!M322+[2]Korisnici!M411+[2]Korisnici!M430+[2]Korisnici!M432+[2]Korisnici!M448+[2]Korisnici!M456+[2]Korisnici!M461+[2]Korisnici!M496+[2]Korisnici!M532+[2]Korisnici!M729+4500</f>
        <v>2918620</v>
      </c>
      <c r="J6" s="719">
        <f>[3]Korisnici!F23+[3]Korisnici!F60+[3]Korisnici!F109-[3]Korisnici!F88-[3]Korisnici!F89-[3]Korisnici!F100-[3]Korisnici!F107+[3]Korisnici!F148-[3]Korisnici!F139-[3]Korisnici!F141+[3]Korisnici!F155+[3]Korisnici!F157+[3]Korisnici!F158+[3]Korisnici!F179-[3]Korisnici!F172+[3]Korisnici!F212+[3]Korisnici!F267+[3]Korisnici!F476+[3]Korisnici!F475+[3]Korisnici!F289+[3]Korisnici!F291+[3]Korisnici!F293+[3]Korisnici!F298+[3]Korisnici!F306+[3]Korisnici!F315+[3]Korisnici!F316+[3]Korisnici!F323+[3]Korisnici!F478+[3]Korisnici!F484+[3]Korisnici!F486+[3]Korisnici!F498+[3]Korisnici!F500+[3]Korisnici!F426+[3]Korisnici!F524+[3]Korisnici!F539+[3]Korisnici!F734</f>
        <v>6320221</v>
      </c>
    </row>
    <row r="7" spans="1:12" x14ac:dyDescent="0.2">
      <c r="A7" s="709">
        <v>4</v>
      </c>
      <c r="B7" s="717" t="s">
        <v>720</v>
      </c>
      <c r="C7" s="718" t="s">
        <v>721</v>
      </c>
      <c r="D7" s="719"/>
      <c r="E7" s="719"/>
      <c r="F7" s="719"/>
      <c r="G7" s="719"/>
      <c r="H7" s="719"/>
      <c r="I7" s="719"/>
      <c r="J7" s="719"/>
    </row>
    <row r="8" spans="1:12" x14ac:dyDescent="0.2">
      <c r="A8" s="709">
        <v>5</v>
      </c>
      <c r="B8" s="717" t="s">
        <v>722</v>
      </c>
      <c r="C8" s="718" t="s">
        <v>723</v>
      </c>
      <c r="D8" s="719">
        <f>Korisnici!L690-Korisnici!L667-Korisnici!L669-Korisnici!L680-Korisnici!L688+Korisnici!L712+Korisnici!L809-Korisnici!L800-Korisnici!L804</f>
        <v>1137364.29</v>
      </c>
      <c r="E8" s="719">
        <f>[1]Korisnici!G646-[1]Korisnici!G633-[1]Korisnici!G634+[1]Korisnici!G668+[1]Korisnici!G699-[1]Korisnici!G690-[1]Korisnici!G695</f>
        <v>727691</v>
      </c>
      <c r="F8" s="719">
        <f>[2]Korisnici!J674+[2]Korisnici!J696+[2]Korisnici!J727-[2]Korisnici!J718-[2]Korisnici!J723</f>
        <v>0</v>
      </c>
      <c r="G8" s="719">
        <f>[2]Korisnici!K674+[2]Korisnici!K696+[2]Korisnici!K727-[2]Korisnici!K718-[2]Korisnici!K723</f>
        <v>0</v>
      </c>
      <c r="H8" s="719">
        <f>[2]Korisnici!L674+[2]Korisnici!L696+[2]Korisnici!L727-[2]Korisnici!L718-[2]Korisnici!L723</f>
        <v>0</v>
      </c>
      <c r="I8" s="719">
        <f>[2]Korisnici!M674+[2]Korisnici!M696+[2]Korisnici!M727-[2]Korisnici!M718-[2]Korisnici!M723</f>
        <v>0</v>
      </c>
      <c r="J8" s="719">
        <f>[3]Korisnici!F679+[3]Korisnici!F732-[3]Korisnici!F723-[3]Korisnici!F728</f>
        <v>700786.49</v>
      </c>
    </row>
    <row r="9" spans="1:12" x14ac:dyDescent="0.2">
      <c r="A9" s="709">
        <v>6</v>
      </c>
      <c r="B9" s="717" t="s">
        <v>724</v>
      </c>
      <c r="C9" s="718" t="s">
        <v>725</v>
      </c>
      <c r="D9" s="719"/>
      <c r="E9" s="719"/>
      <c r="F9" s="719"/>
      <c r="G9" s="719"/>
      <c r="H9" s="719"/>
      <c r="I9" s="719"/>
      <c r="J9" s="719"/>
    </row>
    <row r="10" spans="1:12" x14ac:dyDescent="0.2">
      <c r="A10" s="709">
        <v>7</v>
      </c>
      <c r="B10" s="717" t="s">
        <v>726</v>
      </c>
      <c r="C10" s="718" t="s">
        <v>727</v>
      </c>
      <c r="D10" s="719"/>
      <c r="E10" s="719"/>
      <c r="F10" s="719"/>
      <c r="G10" s="719"/>
      <c r="H10" s="719"/>
      <c r="I10" s="719"/>
      <c r="J10" s="719"/>
    </row>
    <row r="11" spans="1:12" x14ac:dyDescent="0.2">
      <c r="A11" s="709">
        <v>8</v>
      </c>
      <c r="B11" s="717" t="s">
        <v>728</v>
      </c>
      <c r="C11" s="718" t="s">
        <v>729</v>
      </c>
      <c r="D11" s="719">
        <f>Korisnici!L29+Korisnici!H190+Korisnici!H203+Korisnici!H214+Korisnici!H218+Korisnici!H219+Korisnici!H239+Korisnici!H248+Korisnici!H262+Korisnici!L270+Korisnici!L731+Korisnici!L749+Korisnici!L750+Korisnici!L753</f>
        <v>1344500</v>
      </c>
      <c r="E11" s="719">
        <f>[1]Korisnici!G24+[1]Korisnici!G187+[1]Korisnici!G198+[1]Korisnici!G201+[1]Korisnici!G202+[1]Korisnici!G218+[1]Korisnici!G227+[1]Korisnici!G241+[1]Korisnici!G246+[1]Korisnici!G274+[1]Korisnici!G290+[1]Korisnici!G291+[1]Korisnici!G296+[1]Korisnici!G458</f>
        <v>872143</v>
      </c>
      <c r="F11" s="719">
        <f>[2]Korisnici!J25+[2]Korisnici!J204+[2]Korisnici!J215+[2]Korisnici!J218+[2]Korisnici!J219+[2]Korisnici!J235+[2]Korisnici!J244+[2]Korisnici!J258+[2]Korisnici!J259+[2]Korisnici!J261+[2]Korisnici!J267+[2]Korisnici!J298+[2]Korisnici!J314+[2]Korisnici!J315</f>
        <v>0</v>
      </c>
      <c r="G11" s="719">
        <f>[2]Korisnici!K25+[2]Korisnici!K204+[2]Korisnici!K215+[2]Korisnici!K218+[2]Korisnici!K219+[2]Korisnici!K235+[2]Korisnici!K244+[2]Korisnici!K258+[2]Korisnici!K259+[2]Korisnici!K261+[2]Korisnici!K267+[2]Korisnici!K298+[2]Korisnici!K314+[2]Korisnici!K315</f>
        <v>800000</v>
      </c>
      <c r="H11" s="719">
        <f>[2]Korisnici!L25+[2]Korisnici!L204+[2]Korisnici!L215+[2]Korisnici!L218+[2]Korisnici!L219+[2]Korisnici!L235+[2]Korisnici!L244+[2]Korisnici!L258+[2]Korisnici!L259+[2]Korisnici!L261+[2]Korisnici!L267+[2]Korisnici!L298+[2]Korisnici!L314+[2]Korisnici!L315</f>
        <v>0</v>
      </c>
      <c r="I11" s="719">
        <f>[2]Korisnici!M25+[2]Korisnici!M204+[2]Korisnici!M215+[2]Korisnici!M218+[2]Korisnici!M219+[2]Korisnici!M235+[2]Korisnici!M244+[2]Korisnici!M258+[2]Korisnici!M259+[2]Korisnici!M261+[2]Korisnici!M267+[2]Korisnici!M298+[2]Korisnici!M314+[2]Korisnici!M315</f>
        <v>1183350</v>
      </c>
      <c r="J11" s="719">
        <f>[3]Korisnici!F30+[3]Korisnici!F206-[3]Korisnici!F212+[3]Korisnici!F216+[3]Korisnici!F219+[3]Korisnici!F220+[3]Korisnici!F227+[3]Korisnici!F239+[3]Korisnici!F301+[3]Korisnici!F317+[3]Korisnici!F248+[3]Korisnici!F261+[3]Korisnici!F262+[3]Korisnici!F263+[3]Korisnici!F265+[3]Korisnici!F271</f>
        <v>1513950</v>
      </c>
    </row>
    <row r="12" spans="1:12" x14ac:dyDescent="0.2">
      <c r="A12" s="709">
        <v>9</v>
      </c>
      <c r="B12" s="717" t="s">
        <v>730</v>
      </c>
      <c r="C12" s="718" t="s">
        <v>731</v>
      </c>
      <c r="D12" s="719">
        <f>Korisnici!L132+Korisnici!L134+Korisnici!L135+Korisnici!L688+Korisnici!L800+Korisnici!L804</f>
        <v>499650</v>
      </c>
      <c r="E12" s="719">
        <f>[1]Korisnici!G95+[1]Korisnici!G127+[1]Korisnici!G129+[1]Korisnici!G690+[1]Korisnici!G695</f>
        <v>263657</v>
      </c>
      <c r="F12" s="719">
        <f>[2]Korisnici!J105+[2]Korisnici!J137+[2]Korisnici!J139+[2]Korisnici!J718+[2]Korisnici!J722</f>
        <v>0</v>
      </c>
      <c r="G12" s="719">
        <f>[2]Korisnici!K105+[2]Korisnici!K137+[2]Korisnici!K139+[2]Korisnici!K718+[2]Korisnici!K722</f>
        <v>210000</v>
      </c>
      <c r="H12" s="719">
        <f>[2]Korisnici!L105+[2]Korisnici!L137+[2]Korisnici!L139+[2]Korisnici!L718+[2]Korisnici!L722</f>
        <v>0</v>
      </c>
      <c r="I12" s="719">
        <f>[2]Korisnici!M105+[2]Korisnici!M137+[2]Korisnici!M139+[2]Korisnici!M718+[2]Korisnici!M722</f>
        <v>277472.87</v>
      </c>
      <c r="J12" s="719">
        <f>[3]Korisnici!F139+[3]Korisnici!F141+[3]Korisnici!F728</f>
        <v>302001</v>
      </c>
    </row>
    <row r="13" spans="1:12" ht="24" x14ac:dyDescent="0.2">
      <c r="A13" s="709">
        <v>10</v>
      </c>
      <c r="B13" s="717" t="s">
        <v>732</v>
      </c>
      <c r="C13" s="718" t="s">
        <v>733</v>
      </c>
      <c r="D13" s="719">
        <f>Korisnici!K242+Korisnici!K243+Korisnici!K244+Korisnici!K245+Korisnici!K246+Korisnici!K247+Korisnici!L269+Korisnici!L306+Korisnici!L307</f>
        <v>305380</v>
      </c>
      <c r="E13" s="719">
        <f>[1]Korisnici!G221+[1]Korisnici!G222+[1]Korisnici!G223+[1]Korisnici!G224+[1]Korisnici!G225+[1]Korisnici!G226+[1]Korisnici!G245+[1]Korisnici!G294+[1]Korisnici!G295</f>
        <v>249444</v>
      </c>
      <c r="F13" s="719">
        <f>[2]Korisnici!J238+[2]Korisnici!J239+[2]Korisnici!J240+[2]Korisnici!J241+[2]Korisnici!J242+[2]Korisnici!J243+[2]Korisnici!J266+[2]Korisnici!J318+[2]Korisnici!J319</f>
        <v>0</v>
      </c>
      <c r="G13" s="719">
        <f>[2]Korisnici!K238+[2]Korisnici!K239+[2]Korisnici!K240+[2]Korisnici!K241+[2]Korisnici!K242+[2]Korisnici!K243+[2]Korisnici!K266+[2]Korisnici!K318+[2]Korisnici!K319</f>
        <v>0</v>
      </c>
      <c r="H13" s="719">
        <f>[2]Korisnici!L238+[2]Korisnici!L239+[2]Korisnici!L240+[2]Korisnici!L241+[2]Korisnici!L242+[2]Korisnici!L243+[2]Korisnici!L266+[2]Korisnici!L318+[2]Korisnici!L319</f>
        <v>175000</v>
      </c>
      <c r="I13" s="719">
        <f>[2]Korisnici!M238+[2]Korisnici!M239+[2]Korisnici!M240+[2]Korisnici!M241+[2]Korisnici!M242+[2]Korisnici!M243+[2]Korisnici!M266+[2]Korisnici!M318+[2]Korisnici!M319</f>
        <v>290380</v>
      </c>
      <c r="J13" s="719">
        <f>[3]Korisnici!F321+[3]Korisnici!F322+[3]Korisnici!F242+[3]Korisnici!F243+[3]Korisnici!F244+[3]Korisnici!F246+[3]Korisnici!F247+[3]Korisnici!F270</f>
        <v>373880</v>
      </c>
    </row>
    <row r="14" spans="1:12" x14ac:dyDescent="0.2">
      <c r="A14" s="709">
        <v>11</v>
      </c>
      <c r="B14" s="714" t="s">
        <v>734</v>
      </c>
      <c r="C14" s="715" t="s">
        <v>735</v>
      </c>
      <c r="D14" s="716">
        <f t="shared" ref="D14" si="7">SUM(D15:D19)</f>
        <v>2982307.08</v>
      </c>
      <c r="E14" s="716">
        <f t="shared" ref="E14" si="8">SUM(E15:E19)</f>
        <v>2098002</v>
      </c>
      <c r="F14" s="716">
        <f t="shared" ref="F14:I14" si="9">SUM(F15:F19)</f>
        <v>0</v>
      </c>
      <c r="G14" s="716">
        <f t="shared" si="9"/>
        <v>0</v>
      </c>
      <c r="H14" s="716">
        <f t="shared" si="9"/>
        <v>0</v>
      </c>
      <c r="I14" s="716">
        <f t="shared" si="9"/>
        <v>0</v>
      </c>
      <c r="J14" s="716">
        <f t="shared" ref="J14" si="10">SUM(J15:J19)</f>
        <v>2790008</v>
      </c>
    </row>
    <row r="15" spans="1:12" x14ac:dyDescent="0.2">
      <c r="A15" s="709">
        <v>12</v>
      </c>
      <c r="B15" s="717" t="s">
        <v>736</v>
      </c>
      <c r="C15" s="718" t="s">
        <v>737</v>
      </c>
      <c r="D15" s="719"/>
      <c r="E15" s="719"/>
      <c r="F15" s="719"/>
      <c r="G15" s="719"/>
      <c r="H15" s="719"/>
      <c r="I15" s="719"/>
      <c r="J15" s="719"/>
    </row>
    <row r="16" spans="1:12" x14ac:dyDescent="0.2">
      <c r="A16" s="709">
        <v>13</v>
      </c>
      <c r="B16" s="717" t="s">
        <v>738</v>
      </c>
      <c r="C16" s="718" t="s">
        <v>739</v>
      </c>
      <c r="D16" s="719">
        <f>Korisnici!L624</f>
        <v>2982307.08</v>
      </c>
      <c r="E16" s="719">
        <f>Korisnici!M624</f>
        <v>2098002</v>
      </c>
      <c r="F16" s="719">
        <f>[2]Korisnici!J622</f>
        <v>0</v>
      </c>
      <c r="G16" s="719">
        <f>[2]Korisnici!K622</f>
        <v>0</v>
      </c>
      <c r="H16" s="719">
        <f>[2]Korisnici!L622</f>
        <v>0</v>
      </c>
      <c r="I16" s="719">
        <f>[2]Korisnici!M622</f>
        <v>0</v>
      </c>
      <c r="J16" s="719">
        <f>[3]Korisnici!F632-448</f>
        <v>2790008</v>
      </c>
    </row>
    <row r="17" spans="1:10" x14ac:dyDescent="0.2">
      <c r="A17" s="709">
        <v>14</v>
      </c>
      <c r="B17" s="717" t="s">
        <v>740</v>
      </c>
      <c r="C17" s="718" t="s">
        <v>741</v>
      </c>
      <c r="D17" s="719"/>
      <c r="E17" s="719"/>
      <c r="F17" s="719"/>
      <c r="G17" s="719"/>
      <c r="H17" s="719"/>
      <c r="I17" s="719"/>
      <c r="J17" s="719"/>
    </row>
    <row r="18" spans="1:10" x14ac:dyDescent="0.2">
      <c r="A18" s="709">
        <v>15</v>
      </c>
      <c r="B18" s="717" t="s">
        <v>742</v>
      </c>
      <c r="C18" s="718" t="s">
        <v>743</v>
      </c>
      <c r="D18" s="719"/>
      <c r="E18" s="719"/>
      <c r="F18" s="719"/>
      <c r="G18" s="719"/>
      <c r="H18" s="719"/>
      <c r="I18" s="719"/>
      <c r="J18" s="719"/>
    </row>
    <row r="19" spans="1:10" x14ac:dyDescent="0.2">
      <c r="A19" s="709">
        <v>16</v>
      </c>
      <c r="B19" s="717" t="s">
        <v>744</v>
      </c>
      <c r="C19" s="718" t="s">
        <v>745</v>
      </c>
      <c r="D19" s="719"/>
      <c r="E19" s="719"/>
      <c r="F19" s="719"/>
      <c r="G19" s="719"/>
      <c r="H19" s="719"/>
      <c r="I19" s="719"/>
      <c r="J19" s="719"/>
    </row>
    <row r="20" spans="1:10" x14ac:dyDescent="0.2">
      <c r="A20" s="709">
        <v>17</v>
      </c>
      <c r="B20" s="714" t="s">
        <v>746</v>
      </c>
      <c r="C20" s="715" t="s">
        <v>747</v>
      </c>
      <c r="D20" s="716">
        <f t="shared" ref="D20:E20" si="11">SUM(D21:D26)</f>
        <v>0</v>
      </c>
      <c r="E20" s="716">
        <f t="shared" si="11"/>
        <v>0</v>
      </c>
      <c r="F20" s="716">
        <f t="shared" ref="F20:I20" si="12">SUM(F21:F26)</f>
        <v>0</v>
      </c>
      <c r="G20" s="716">
        <f t="shared" si="12"/>
        <v>0</v>
      </c>
      <c r="H20" s="716">
        <f t="shared" si="12"/>
        <v>0</v>
      </c>
      <c r="I20" s="716">
        <f t="shared" si="12"/>
        <v>0</v>
      </c>
      <c r="J20" s="716">
        <f t="shared" ref="J20" si="13">SUM(J21:J26)</f>
        <v>0</v>
      </c>
    </row>
    <row r="21" spans="1:10" x14ac:dyDescent="0.2">
      <c r="A21" s="709">
        <v>18</v>
      </c>
      <c r="B21" s="717" t="s">
        <v>748</v>
      </c>
      <c r="C21" s="718" t="s">
        <v>749</v>
      </c>
      <c r="D21" s="719"/>
      <c r="E21" s="719"/>
      <c r="F21" s="719"/>
      <c r="G21" s="719"/>
      <c r="H21" s="719"/>
      <c r="I21" s="719"/>
      <c r="J21" s="719"/>
    </row>
    <row r="22" spans="1:10" x14ac:dyDescent="0.2">
      <c r="A22" s="709">
        <v>19</v>
      </c>
      <c r="B22" s="717" t="s">
        <v>750</v>
      </c>
      <c r="C22" s="718" t="s">
        <v>751</v>
      </c>
      <c r="D22" s="719"/>
      <c r="E22" s="719"/>
      <c r="F22" s="719"/>
      <c r="G22" s="719"/>
      <c r="H22" s="719"/>
      <c r="I22" s="719"/>
      <c r="J22" s="719"/>
    </row>
    <row r="23" spans="1:10" x14ac:dyDescent="0.2">
      <c r="A23" s="709">
        <v>20</v>
      </c>
      <c r="B23" s="717" t="s">
        <v>752</v>
      </c>
      <c r="C23" s="718" t="s">
        <v>753</v>
      </c>
      <c r="D23" s="719"/>
      <c r="E23" s="719"/>
      <c r="F23" s="719"/>
      <c r="G23" s="719"/>
      <c r="H23" s="719"/>
      <c r="I23" s="719"/>
      <c r="J23" s="719"/>
    </row>
    <row r="24" spans="1:10" x14ac:dyDescent="0.2">
      <c r="A24" s="709">
        <v>21</v>
      </c>
      <c r="B24" s="717" t="s">
        <v>754</v>
      </c>
      <c r="C24" s="718" t="s">
        <v>755</v>
      </c>
      <c r="D24" s="719"/>
      <c r="E24" s="719"/>
      <c r="F24" s="719"/>
      <c r="G24" s="719"/>
      <c r="H24" s="719"/>
      <c r="I24" s="719"/>
      <c r="J24" s="719"/>
    </row>
    <row r="25" spans="1:10" x14ac:dyDescent="0.2">
      <c r="A25" s="709">
        <v>22</v>
      </c>
      <c r="B25" s="717" t="s">
        <v>756</v>
      </c>
      <c r="C25" s="718" t="s">
        <v>757</v>
      </c>
      <c r="D25" s="719"/>
      <c r="E25" s="719"/>
      <c r="F25" s="719"/>
      <c r="G25" s="719"/>
      <c r="H25" s="719"/>
      <c r="I25" s="719"/>
      <c r="J25" s="719"/>
    </row>
    <row r="26" spans="1:10" x14ac:dyDescent="0.2">
      <c r="A26" s="709">
        <v>23</v>
      </c>
      <c r="B26" s="717" t="s">
        <v>758</v>
      </c>
      <c r="C26" s="718" t="s">
        <v>759</v>
      </c>
      <c r="D26" s="719"/>
      <c r="E26" s="719"/>
      <c r="F26" s="719"/>
      <c r="G26" s="719"/>
      <c r="H26" s="719"/>
      <c r="I26" s="719"/>
      <c r="J26" s="719"/>
    </row>
    <row r="27" spans="1:10" x14ac:dyDescent="0.2">
      <c r="A27" s="709">
        <v>24</v>
      </c>
      <c r="B27" s="714" t="s">
        <v>760</v>
      </c>
      <c r="C27" s="715" t="s">
        <v>761</v>
      </c>
      <c r="D27" s="716">
        <f t="shared" ref="D27:E27" si="14">SUM(D28:D36)</f>
        <v>9302064.9800000004</v>
      </c>
      <c r="E27" s="716">
        <f t="shared" si="14"/>
        <v>2462238</v>
      </c>
      <c r="F27" s="716">
        <f t="shared" ref="F27:I27" si="15">SUM(F28:F36)</f>
        <v>2804608</v>
      </c>
      <c r="G27" s="716">
        <f t="shared" si="15"/>
        <v>7825832.46</v>
      </c>
      <c r="H27" s="716">
        <f t="shared" si="15"/>
        <v>2820786.4</v>
      </c>
      <c r="I27" s="716">
        <f t="shared" si="15"/>
        <v>15391426.859999999</v>
      </c>
      <c r="J27" s="716">
        <f t="shared" ref="J27" si="16">SUM(J28:J36)</f>
        <v>6631519</v>
      </c>
    </row>
    <row r="28" spans="1:10" ht="24" x14ac:dyDescent="0.2">
      <c r="A28" s="709">
        <v>25</v>
      </c>
      <c r="B28" s="717" t="s">
        <v>762</v>
      </c>
      <c r="C28" s="718" t="s">
        <v>763</v>
      </c>
      <c r="D28" s="719">
        <f>Korisnici!L452+Korisnici!L453+Korisnici!L454+Korisnici!L667+Korisnici!L669+Korisnici!L679</f>
        <v>71100</v>
      </c>
      <c r="E28" s="719">
        <f>[1]Korisnici!G89+[1]Korisnici!G424+[1]Korisnici!G425+[1]Korisnici!G633+[1]Korisnici!G634</f>
        <v>11316</v>
      </c>
      <c r="F28" s="719">
        <f>[2]Korisnici!J87+[2]Korisnici!J88+[2]Korisnici!J98+[2]Korisnici!J453+[2]Korisnici!J454+[2]Korisnici!J455</f>
        <v>0</v>
      </c>
      <c r="G28" s="719">
        <f>[2]Korisnici!K87+[2]Korisnici!K88+[2]Korisnici!K98+[2]Korisnici!K453+[2]Korisnici!K454+[2]Korisnici!K455</f>
        <v>22100</v>
      </c>
      <c r="H28" s="719">
        <f>[2]Korisnici!L87+[2]Korisnici!L88+[2]Korisnici!L98+[2]Korisnici!L453+[2]Korisnici!L454+[2]Korisnici!L455</f>
        <v>0</v>
      </c>
      <c r="I28" s="719">
        <f>[2]Korisnici!M87+[2]Korisnici!M88+[2]Korisnici!M98+[2]Korisnici!M453+[2]Korisnici!M454+[2]Korisnici!M455</f>
        <v>99200</v>
      </c>
      <c r="J28" s="719">
        <f>[3]Korisnici!F100+[3]Korisnici!F468+[3]Korisnici!F469+[3]Korisnici!F470</f>
        <v>139400</v>
      </c>
    </row>
    <row r="29" spans="1:10" x14ac:dyDescent="0.2">
      <c r="A29" s="709">
        <v>26</v>
      </c>
      <c r="B29" s="717" t="s">
        <v>764</v>
      </c>
      <c r="C29" s="718" t="s">
        <v>765</v>
      </c>
      <c r="D29" s="719">
        <f>Korisnici!L448+Korisnici!L461</f>
        <v>90400</v>
      </c>
      <c r="E29" s="719">
        <f>[1]Korisnici!G420+[1]Korisnici!G433</f>
        <v>145163</v>
      </c>
      <c r="F29" s="719">
        <f>[2]Korisnici!J450+[2]Korisnici!J462</f>
        <v>0</v>
      </c>
      <c r="G29" s="719">
        <f>[2]Korisnici!K450+[2]Korisnici!K462</f>
        <v>22100</v>
      </c>
      <c r="H29" s="719">
        <f>[2]Korisnici!L450+[2]Korisnici!L462</f>
        <v>220000</v>
      </c>
      <c r="I29" s="719">
        <f>[2]Korisnici!M450+[2]Korisnici!M462</f>
        <v>855600</v>
      </c>
      <c r="J29" s="719">
        <f>Korisnici!M448+funkcionalna!R476</f>
        <v>60000</v>
      </c>
    </row>
    <row r="30" spans="1:10" x14ac:dyDescent="0.2">
      <c r="A30" s="709">
        <v>27</v>
      </c>
      <c r="B30" s="717" t="s">
        <v>766</v>
      </c>
      <c r="C30" s="718" t="s">
        <v>767</v>
      </c>
      <c r="D30" s="719"/>
      <c r="E30" s="719"/>
      <c r="F30" s="719"/>
      <c r="G30" s="719"/>
      <c r="H30" s="719"/>
      <c r="I30" s="719"/>
      <c r="J30" s="719"/>
    </row>
    <row r="31" spans="1:10" x14ac:dyDescent="0.2">
      <c r="A31" s="709">
        <v>28</v>
      </c>
      <c r="B31" s="717" t="s">
        <v>768</v>
      </c>
      <c r="C31" s="718" t="s">
        <v>769</v>
      </c>
      <c r="D31" s="719">
        <f>Korisnici!L419-Korisnici!L411-Korisnici!L414-Korisnici!L417+Korisnici!L491+Korisnici!L771+Korisnici!L775</f>
        <v>8860564.9800000004</v>
      </c>
      <c r="E31" s="719">
        <f>[1]Korisnici!G340+[1]Korisnici!G363+[1]Korisnici!G367+[1]Korisnici!G369+[1]Korisnici!G374+[1]Korisnici!G375+[1]Korisnici!G382+[1]Korisnici!G383+[1]Korisnici!G390+[1]Korisnici!G391+[1]Korisnici!G463</f>
        <v>2093772</v>
      </c>
      <c r="F31" s="719">
        <f>[2]Korisnici!J365+[2]Korisnici!J392+[2]Korisnici!J395+[2]Korisnici!J397+[2]Korisnici!J402+[2]Korisnici!J403+[2]Korisnici!J412+[2]Korisnici!J413+[2]Korisnici!J420+[2]Korisnici!J421</f>
        <v>2804608</v>
      </c>
      <c r="G31" s="719">
        <f>[2]Korisnici!K365+[2]Korisnici!K392+[2]Korisnici!K395+[2]Korisnici!K397+[2]Korisnici!K402+[2]Korisnici!K403+[2]Korisnici!K412+[2]Korisnici!K413+[2]Korisnici!K420+[2]Korisnici!K421</f>
        <v>7781632.46</v>
      </c>
      <c r="H31" s="719">
        <f>[2]Korisnici!L365+[2]Korisnici!L392+[2]Korisnici!L395+[2]Korisnici!L397+[2]Korisnici!L402+[2]Korisnici!L403+[2]Korisnici!L412+[2]Korisnici!L413+[2]Korisnici!L420+[2]Korisnici!L421</f>
        <v>2600786.4</v>
      </c>
      <c r="I31" s="719">
        <f>[2]Korisnici!M365+[2]Korisnici!M392+[2]Korisnici!M395+[2]Korisnici!M397+[2]Korisnici!M402+[2]Korisnici!M403+[2]Korisnici!M412+[2]Korisnici!M413+[2]Korisnici!M420+[2]Korisnici!M421</f>
        <v>14365626.859999999</v>
      </c>
      <c r="J31" s="719">
        <f>[3]Korisnici!F363+[3]Korisnici!F367+[3]Korisnici!F397+[3]Korisnici!F401+[3]Korisnici!F417+[3]Korisnici!F418+[3]Korisnici!F427</f>
        <v>6331119</v>
      </c>
    </row>
    <row r="32" spans="1:10" x14ac:dyDescent="0.2">
      <c r="A32" s="709">
        <v>29</v>
      </c>
      <c r="B32" s="721" t="s">
        <v>770</v>
      </c>
      <c r="C32" s="722" t="s">
        <v>771</v>
      </c>
      <c r="D32" s="964">
        <f>Korisnici!L754</f>
        <v>200000</v>
      </c>
      <c r="E32" s="964">
        <f>[1]Korisnici!G297</f>
        <v>141987</v>
      </c>
      <c r="F32" s="723">
        <f>[2]Korisnici!J262</f>
        <v>0</v>
      </c>
      <c r="G32" s="723">
        <f>[2]Korisnici!K262</f>
        <v>0</v>
      </c>
      <c r="H32" s="723">
        <f>[2]Korisnici!L262</f>
        <v>0</v>
      </c>
      <c r="I32" s="723">
        <f>[2]Korisnici!M262</f>
        <v>0</v>
      </c>
      <c r="J32" s="719"/>
    </row>
    <row r="33" spans="1:10" x14ac:dyDescent="0.2">
      <c r="A33" s="709">
        <v>30</v>
      </c>
      <c r="B33" s="717" t="s">
        <v>772</v>
      </c>
      <c r="C33" s="718" t="s">
        <v>773</v>
      </c>
      <c r="D33" s="719"/>
      <c r="E33" s="719"/>
      <c r="F33" s="719"/>
      <c r="G33" s="719"/>
      <c r="H33" s="719"/>
      <c r="I33" s="719"/>
      <c r="J33" s="719"/>
    </row>
    <row r="34" spans="1:10" x14ac:dyDescent="0.2">
      <c r="A34" s="709">
        <v>31</v>
      </c>
      <c r="B34" s="717" t="s">
        <v>774</v>
      </c>
      <c r="C34" s="718" t="s">
        <v>775</v>
      </c>
      <c r="D34" s="964">
        <f>Korisnici!L237++Korisnici!L238</f>
        <v>75000</v>
      </c>
      <c r="E34" s="964">
        <f>[1]Korisnici!G216+[1]Korisnici!G217</f>
        <v>70000</v>
      </c>
      <c r="F34" s="723">
        <f>[2]Korisnici!J233+[2]Korisnici!J234</f>
        <v>0</v>
      </c>
      <c r="G34" s="723">
        <f>[2]Korisnici!K233+[2]Korisnici!K234</f>
        <v>0</v>
      </c>
      <c r="H34" s="723">
        <f>[2]Korisnici!L233+[2]Korisnici!L234</f>
        <v>0</v>
      </c>
      <c r="I34" s="723">
        <f>[2]Korisnici!M233+[2]Korisnici!M234</f>
        <v>71000</v>
      </c>
      <c r="J34" s="719">
        <f>[3]Korisnici!F237+[3]Korisnici!F238</f>
        <v>71000</v>
      </c>
    </row>
    <row r="35" spans="1:10" x14ac:dyDescent="0.2">
      <c r="A35" s="709">
        <v>32</v>
      </c>
      <c r="B35" s="717" t="s">
        <v>776</v>
      </c>
      <c r="C35" s="718" t="s">
        <v>777</v>
      </c>
      <c r="D35" s="719"/>
      <c r="E35" s="719"/>
      <c r="F35" s="719"/>
      <c r="G35" s="719"/>
      <c r="H35" s="719"/>
      <c r="I35" s="719"/>
      <c r="J35" s="719"/>
    </row>
    <row r="36" spans="1:10" x14ac:dyDescent="0.2">
      <c r="A36" s="709">
        <v>33</v>
      </c>
      <c r="B36" s="717" t="s">
        <v>778</v>
      </c>
      <c r="C36" s="718" t="s">
        <v>779</v>
      </c>
      <c r="D36" s="719">
        <f>Korisnici!L272+Korisnici!L273+Korisnici!L274+Korisnici!L275</f>
        <v>5000</v>
      </c>
      <c r="E36" s="719"/>
      <c r="F36" s="719"/>
      <c r="G36" s="719"/>
      <c r="H36" s="719"/>
      <c r="I36" s="719"/>
      <c r="J36" s="719">
        <f>[3]Korisnici!F359</f>
        <v>30000</v>
      </c>
    </row>
    <row r="37" spans="1:10" x14ac:dyDescent="0.2">
      <c r="A37" s="709">
        <v>34</v>
      </c>
      <c r="B37" s="714" t="s">
        <v>780</v>
      </c>
      <c r="C37" s="715" t="s">
        <v>781</v>
      </c>
      <c r="D37" s="716">
        <f t="shared" ref="D37" si="17">SUM(D38:D43)</f>
        <v>433000</v>
      </c>
      <c r="E37" s="716">
        <f t="shared" ref="E37" si="18">SUM(E38:E43)</f>
        <v>169416</v>
      </c>
      <c r="F37" s="716">
        <f t="shared" ref="F37:I37" si="19">SUM(F38:F43)</f>
        <v>0</v>
      </c>
      <c r="G37" s="716">
        <f t="shared" si="19"/>
        <v>201000</v>
      </c>
      <c r="H37" s="716">
        <f t="shared" si="19"/>
        <v>0</v>
      </c>
      <c r="I37" s="716">
        <f t="shared" si="19"/>
        <v>261000</v>
      </c>
      <c r="J37" s="716">
        <f t="shared" ref="J37" si="20">SUM(J38:J43)</f>
        <v>886300</v>
      </c>
    </row>
    <row r="38" spans="1:10" x14ac:dyDescent="0.2">
      <c r="A38" s="709">
        <v>35</v>
      </c>
      <c r="B38" s="717" t="s">
        <v>782</v>
      </c>
      <c r="C38" s="718" t="s">
        <v>783</v>
      </c>
      <c r="D38" s="719">
        <f>Korisnici!L767+Korisnici!L774</f>
        <v>263000</v>
      </c>
      <c r="E38" s="719">
        <f>[1]Korisnici!G333+[1]Korisnici!G388</f>
        <v>169416</v>
      </c>
      <c r="F38" s="719">
        <f>[2]Korisnici!J358+[2]Korisnici!J418</f>
        <v>0</v>
      </c>
      <c r="G38" s="719">
        <f>[2]Korisnici!K358+[2]Korisnici!K418</f>
        <v>150000</v>
      </c>
      <c r="H38" s="719">
        <f>[2]Korisnici!L358+[2]Korisnici!L418</f>
        <v>0</v>
      </c>
      <c r="I38" s="719">
        <f>[2]Korisnici!M358+[2]Korisnici!M418</f>
        <v>150000</v>
      </c>
      <c r="J38" s="719">
        <f>[3]Korisnici!F436+[3]Korisnici!F361</f>
        <v>133000</v>
      </c>
    </row>
    <row r="39" spans="1:10" x14ac:dyDescent="0.2">
      <c r="A39" s="709">
        <v>36</v>
      </c>
      <c r="B39" s="717" t="s">
        <v>784</v>
      </c>
      <c r="C39" s="718" t="s">
        <v>785</v>
      </c>
      <c r="D39" s="719"/>
      <c r="E39" s="719"/>
      <c r="F39" s="719"/>
      <c r="G39" s="719"/>
      <c r="H39" s="719"/>
      <c r="I39" s="719"/>
      <c r="J39" s="719"/>
    </row>
    <row r="40" spans="1:10" x14ac:dyDescent="0.2">
      <c r="A40" s="709">
        <v>37</v>
      </c>
      <c r="B40" s="717" t="s">
        <v>786</v>
      </c>
      <c r="C40" s="718" t="s">
        <v>787</v>
      </c>
      <c r="D40" s="719">
        <f>Korisnici!L766</f>
        <v>50000</v>
      </c>
      <c r="E40" s="719">
        <f>[1]Korisnici!G332</f>
        <v>0</v>
      </c>
      <c r="F40" s="719">
        <f>[2]Korisnici!J357</f>
        <v>0</v>
      </c>
      <c r="G40" s="719">
        <f>[2]Korisnici!K357</f>
        <v>50000</v>
      </c>
      <c r="H40" s="719">
        <f>[2]Korisnici!L357</f>
        <v>0</v>
      </c>
      <c r="I40" s="719">
        <f>[2]Korisnici!M357</f>
        <v>50000</v>
      </c>
      <c r="J40" s="719">
        <f>[3]Korisnici!F360+[3]Korisnici!F412</f>
        <v>713300</v>
      </c>
    </row>
    <row r="41" spans="1:10" ht="24" x14ac:dyDescent="0.2">
      <c r="A41" s="709">
        <v>38</v>
      </c>
      <c r="B41" s="717" t="s">
        <v>788</v>
      </c>
      <c r="C41" s="718" t="s">
        <v>789</v>
      </c>
      <c r="D41" s="719"/>
      <c r="E41" s="719"/>
      <c r="F41" s="719"/>
      <c r="G41" s="719"/>
      <c r="H41" s="719"/>
      <c r="I41" s="719"/>
      <c r="J41" s="719"/>
    </row>
    <row r="42" spans="1:10" x14ac:dyDescent="0.2">
      <c r="A42" s="709">
        <v>39</v>
      </c>
      <c r="B42" s="717" t="s">
        <v>790</v>
      </c>
      <c r="C42" s="718" t="s">
        <v>791</v>
      </c>
      <c r="D42" s="719">
        <f>Korisnici!L772+Korisnici!L773</f>
        <v>80000</v>
      </c>
      <c r="E42" s="719">
        <f>[1]Korisnici!G386+[1]Korisnici!G387</f>
        <v>0</v>
      </c>
      <c r="F42" s="719">
        <f>[2]Korisnici!J416+[2]Korisnici!J417</f>
        <v>0</v>
      </c>
      <c r="G42" s="719">
        <f>[2]Korisnici!K416+[2]Korisnici!K417</f>
        <v>0</v>
      </c>
      <c r="H42" s="719">
        <f>[2]Korisnici!L416+[2]Korisnici!L417</f>
        <v>0</v>
      </c>
      <c r="I42" s="719">
        <f>[2]Korisnici!M416+[2]Korisnici!M417</f>
        <v>60000</v>
      </c>
      <c r="J42" s="719">
        <f>[3]Korisnici!F434+[3]Korisnici!F435</f>
        <v>40000</v>
      </c>
    </row>
    <row r="43" spans="1:10" x14ac:dyDescent="0.2">
      <c r="A43" s="709">
        <v>40</v>
      </c>
      <c r="B43" s="717" t="s">
        <v>792</v>
      </c>
      <c r="C43" s="718" t="s">
        <v>793</v>
      </c>
      <c r="D43" s="719">
        <f>Korisnici!L350+Korisnici!L486</f>
        <v>40000</v>
      </c>
      <c r="E43" s="719">
        <f>[1]Korisnici!G331</f>
        <v>0</v>
      </c>
      <c r="F43" s="719">
        <f>[2]Korisnici!J356</f>
        <v>0</v>
      </c>
      <c r="G43" s="719">
        <f>[2]Korisnici!K356</f>
        <v>1000</v>
      </c>
      <c r="H43" s="719">
        <f>[2]Korisnici!L356</f>
        <v>0</v>
      </c>
      <c r="I43" s="719">
        <f>[2]Korisnici!M356</f>
        <v>1000</v>
      </c>
      <c r="J43" s="719"/>
    </row>
    <row r="44" spans="1:10" x14ac:dyDescent="0.2">
      <c r="A44" s="709">
        <v>41</v>
      </c>
      <c r="B44" s="714" t="s">
        <v>794</v>
      </c>
      <c r="C44" s="715" t="s">
        <v>795</v>
      </c>
      <c r="D44" s="716">
        <f t="shared" ref="D44" si="21">SUM(D45:D50)</f>
        <v>2428012</v>
      </c>
      <c r="E44" s="716">
        <f t="shared" ref="E44" si="22">SUM(E45:E50)</f>
        <v>924291</v>
      </c>
      <c r="F44" s="716">
        <f t="shared" ref="F44:I44" si="23">SUM(F45:F50)</f>
        <v>1402304</v>
      </c>
      <c r="G44" s="716">
        <f t="shared" si="23"/>
        <v>4361765.09</v>
      </c>
      <c r="H44" s="716">
        <f t="shared" si="23"/>
        <v>1550786.7</v>
      </c>
      <c r="I44" s="716">
        <f t="shared" si="23"/>
        <v>7529855.79</v>
      </c>
      <c r="J44" s="716">
        <f t="shared" ref="J44" si="24">SUM(J45:J50)</f>
        <v>2714129</v>
      </c>
    </row>
    <row r="45" spans="1:10" x14ac:dyDescent="0.2">
      <c r="A45" s="709">
        <v>42</v>
      </c>
      <c r="B45" s="717" t="s">
        <v>796</v>
      </c>
      <c r="C45" s="718" t="s">
        <v>797</v>
      </c>
      <c r="D45" s="719"/>
      <c r="E45" s="719"/>
      <c r="F45" s="719"/>
      <c r="G45" s="719"/>
      <c r="H45" s="719"/>
      <c r="I45" s="719"/>
      <c r="J45" s="719"/>
    </row>
    <row r="46" spans="1:10" x14ac:dyDescent="0.2">
      <c r="A46" s="709">
        <v>43</v>
      </c>
      <c r="B46" s="717" t="s">
        <v>798</v>
      </c>
      <c r="C46" s="718" t="s">
        <v>799</v>
      </c>
      <c r="D46" s="719">
        <f>Korisnici!L316-Korisnici!L329-Korisnici!L341+Korisnici!L349+Korisnici!L351+Korisnici!L352+Korisnici!L353+Korisnici!L356</f>
        <v>531492</v>
      </c>
      <c r="E46" s="719">
        <f>[1]Korisnici!G248+[1]Korisnici!G304-[1]Korisnici!G322+[1]Korisnici!G330+[1]Korisnici!G334+[1]Korisnici!G335+[1]Korisnici!G336</f>
        <v>226266</v>
      </c>
      <c r="F46" s="719">
        <f>[2]Korisnici!J328-[2]Korisnici!J347+[2]Korisnici!J355+[2]Korisnici!J359+[2]Korisnici!J360</f>
        <v>0</v>
      </c>
      <c r="G46" s="719">
        <f>[2]Korisnici!K328-[2]Korisnici!K347+[2]Korisnici!K355+[2]Korisnici!K359+[2]Korisnici!K360</f>
        <v>339025.61</v>
      </c>
      <c r="H46" s="719">
        <f>[2]Korisnici!L328-[2]Korisnici!L347+[2]Korisnici!L355+[2]Korisnici!L359+[2]Korisnici!L360</f>
        <v>110787</v>
      </c>
      <c r="I46" s="719">
        <f>[2]Korisnici!M328-[2]Korisnici!M347+[2]Korisnici!M355+[2]Korisnici!M359+[2]Korisnici!M360</f>
        <v>449812.61</v>
      </c>
      <c r="J46" s="719">
        <f>[3]Korisnici!F329+[3]Korisnici!F358+[3]Korisnici!F362</f>
        <v>1079079</v>
      </c>
    </row>
    <row r="47" spans="1:10" x14ac:dyDescent="0.2">
      <c r="A47" s="709">
        <v>44</v>
      </c>
      <c r="B47" s="717" t="s">
        <v>800</v>
      </c>
      <c r="C47" s="718" t="s">
        <v>801</v>
      </c>
      <c r="D47" s="719">
        <f>Korisnici!L329</f>
        <v>107020</v>
      </c>
      <c r="E47" s="719"/>
      <c r="F47" s="719"/>
      <c r="G47" s="719"/>
      <c r="H47" s="719"/>
      <c r="I47" s="719"/>
      <c r="J47" s="719"/>
    </row>
    <row r="48" spans="1:10" x14ac:dyDescent="0.2">
      <c r="A48" s="709">
        <v>45</v>
      </c>
      <c r="B48" s="717" t="s">
        <v>802</v>
      </c>
      <c r="C48" s="718" t="s">
        <v>803</v>
      </c>
      <c r="D48" s="719">
        <f>Korisnici!L417+Korisnici!L724+Korisnici!L742</f>
        <v>762500</v>
      </c>
      <c r="E48" s="719">
        <f>[1]Korisnici!G267+[1]Korisnici!G284+[1]Korisnici!G389</f>
        <v>535095</v>
      </c>
      <c r="F48" s="719">
        <f>[2]Korisnici!J291+[2]Korisnici!J308+[2]Korisnici!J419</f>
        <v>1402304</v>
      </c>
      <c r="G48" s="719">
        <f>[2]Korisnici!K291+[2]Korisnici!K308+[2]Korisnici!K419</f>
        <v>3463624.48</v>
      </c>
      <c r="H48" s="719">
        <f>[2]Korisnici!L291+[2]Korisnici!L308+[2]Korisnici!L419</f>
        <v>1439999.7</v>
      </c>
      <c r="I48" s="719">
        <f>[2]Korisnici!M291+[2]Korisnici!M308+[2]Korisnici!M419</f>
        <v>6520928.1799999997</v>
      </c>
      <c r="J48" s="719">
        <f>[3]Korisnici!F294+[3]Korisnici!F309+[3]Korisnici!F311+[3]Korisnici!F312+[3]Korisnici!F313</f>
        <v>1113850</v>
      </c>
    </row>
    <row r="49" spans="1:10" x14ac:dyDescent="0.2">
      <c r="A49" s="709">
        <v>46</v>
      </c>
      <c r="B49" s="717" t="s">
        <v>804</v>
      </c>
      <c r="C49" s="718" t="s">
        <v>805</v>
      </c>
      <c r="D49" s="719"/>
      <c r="E49" s="719"/>
      <c r="F49" s="719"/>
      <c r="G49" s="719"/>
      <c r="H49" s="719"/>
      <c r="I49" s="719"/>
      <c r="J49" s="719"/>
    </row>
    <row r="50" spans="1:10" x14ac:dyDescent="0.2">
      <c r="A50" s="709">
        <v>47</v>
      </c>
      <c r="B50" s="717" t="s">
        <v>806</v>
      </c>
      <c r="C50" s="718" t="s">
        <v>807</v>
      </c>
      <c r="D50" s="719">
        <f>Korisnici!L311+Korisnici!L315+Korisnici!L411+Korisnici!L414+Korisnici!L740+Korisnici!L743+Korisnici!L744+Korisnici!L745</f>
        <v>1027000</v>
      </c>
      <c r="E50" s="719">
        <f>[1]Korisnici!G282+[1]Korisnici!G285+[1]Korisnici!G286+[1]Korisnici!G301+[1]Korisnici!G303+[1]Korisnici!G380+[1]Korisnici!G384</f>
        <v>162930</v>
      </c>
      <c r="F50" s="719">
        <f>[2]Korisnici!J306+[2]Korisnici!J309+[2]Korisnici!J310+[2]Korisnici!J325+[2]Korisnici!J327+[2]Korisnici!J410+[2]Korisnici!J414</f>
        <v>0</v>
      </c>
      <c r="G50" s="719">
        <f>[2]Korisnici!K306+[2]Korisnici!K309+[2]Korisnici!K310+[2]Korisnici!K325+[2]Korisnici!K327+[2]Korisnici!K410+[2]Korisnici!K414</f>
        <v>559115</v>
      </c>
      <c r="H50" s="719">
        <f>[2]Korisnici!L306+[2]Korisnici!L309+[2]Korisnici!L310+[2]Korisnici!L325+[2]Korisnici!L327+[2]Korisnici!L410+[2]Korisnici!L414</f>
        <v>0</v>
      </c>
      <c r="I50" s="719">
        <f>[2]Korisnici!M306+[2]Korisnici!M309+[2]Korisnici!M310+[2]Korisnici!M325+[2]Korisnici!M327+[2]Korisnici!M410+[2]Korisnici!M414</f>
        <v>559115</v>
      </c>
      <c r="J50" s="719">
        <f>[3]Korisnici!F326+[3]Korisnici!F328+[3]Korisnici!F425+[3]Korisnici!F428</f>
        <v>521200</v>
      </c>
    </row>
    <row r="51" spans="1:10" x14ac:dyDescent="0.2">
      <c r="A51" s="709">
        <v>48</v>
      </c>
      <c r="B51" s="714" t="s">
        <v>808</v>
      </c>
      <c r="C51" s="715" t="s">
        <v>809</v>
      </c>
      <c r="D51" s="716">
        <f t="shared" ref="D51" si="25">SUM(D52:D57)</f>
        <v>0</v>
      </c>
      <c r="E51" s="716">
        <f t="shared" ref="E51" si="26">SUM(E52:E57)</f>
        <v>0</v>
      </c>
      <c r="F51" s="716">
        <f t="shared" ref="F51:I51" si="27">SUM(F52:F57)</f>
        <v>0</v>
      </c>
      <c r="G51" s="716">
        <f t="shared" si="27"/>
        <v>0</v>
      </c>
      <c r="H51" s="716">
        <f t="shared" si="27"/>
        <v>0</v>
      </c>
      <c r="I51" s="716">
        <f t="shared" si="27"/>
        <v>0</v>
      </c>
      <c r="J51" s="716">
        <f t="shared" ref="J51" si="28">SUM(J52:J57)</f>
        <v>0</v>
      </c>
    </row>
    <row r="52" spans="1:10" x14ac:dyDescent="0.2">
      <c r="A52" s="709">
        <v>49</v>
      </c>
      <c r="B52" s="717" t="s">
        <v>810</v>
      </c>
      <c r="C52" s="718" t="s">
        <v>811</v>
      </c>
      <c r="D52" s="719"/>
      <c r="E52" s="719"/>
      <c r="F52" s="719"/>
      <c r="G52" s="719"/>
      <c r="H52" s="719"/>
      <c r="I52" s="719"/>
      <c r="J52" s="719"/>
    </row>
    <row r="53" spans="1:10" x14ac:dyDescent="0.2">
      <c r="A53" s="709">
        <v>50</v>
      </c>
      <c r="B53" s="717" t="s">
        <v>812</v>
      </c>
      <c r="C53" s="718" t="s">
        <v>813</v>
      </c>
      <c r="D53" s="719"/>
      <c r="E53" s="719"/>
      <c r="F53" s="719"/>
      <c r="G53" s="719"/>
      <c r="H53" s="719"/>
      <c r="I53" s="719"/>
      <c r="J53" s="719"/>
    </row>
    <row r="54" spans="1:10" x14ac:dyDescent="0.2">
      <c r="A54" s="709">
        <v>51</v>
      </c>
      <c r="B54" s="717" t="s">
        <v>814</v>
      </c>
      <c r="C54" s="718" t="s">
        <v>815</v>
      </c>
      <c r="D54" s="719"/>
      <c r="E54" s="719"/>
      <c r="F54" s="719"/>
      <c r="G54" s="719"/>
      <c r="H54" s="719"/>
      <c r="I54" s="719"/>
      <c r="J54" s="719"/>
    </row>
    <row r="55" spans="1:10" x14ac:dyDescent="0.2">
      <c r="A55" s="709">
        <v>52</v>
      </c>
      <c r="B55" s="717" t="s">
        <v>816</v>
      </c>
      <c r="C55" s="718" t="s">
        <v>817</v>
      </c>
      <c r="D55" s="719"/>
      <c r="E55" s="719"/>
      <c r="F55" s="719"/>
      <c r="G55" s="719"/>
      <c r="H55" s="719"/>
      <c r="I55" s="719"/>
      <c r="J55" s="719"/>
    </row>
    <row r="56" spans="1:10" x14ac:dyDescent="0.2">
      <c r="A56" s="709">
        <v>53</v>
      </c>
      <c r="B56" s="717" t="s">
        <v>818</v>
      </c>
      <c r="C56" s="718" t="s">
        <v>819</v>
      </c>
      <c r="D56" s="719"/>
      <c r="E56" s="719"/>
      <c r="F56" s="719"/>
      <c r="G56" s="719"/>
      <c r="H56" s="719"/>
      <c r="I56" s="719"/>
      <c r="J56" s="719"/>
    </row>
    <row r="57" spans="1:10" x14ac:dyDescent="0.2">
      <c r="A57" s="709">
        <v>54</v>
      </c>
      <c r="B57" s="717" t="s">
        <v>820</v>
      </c>
      <c r="C57" s="718" t="s">
        <v>821</v>
      </c>
      <c r="D57" s="719"/>
      <c r="E57" s="719"/>
      <c r="F57" s="719"/>
      <c r="G57" s="719"/>
      <c r="H57" s="719"/>
      <c r="I57" s="719"/>
      <c r="J57" s="719"/>
    </row>
    <row r="58" spans="1:10" x14ac:dyDescent="0.2">
      <c r="A58" s="709">
        <v>55</v>
      </c>
      <c r="B58" s="714" t="s">
        <v>822</v>
      </c>
      <c r="C58" s="715" t="s">
        <v>823</v>
      </c>
      <c r="D58" s="720">
        <f t="shared" ref="D58:E58" si="29">SUM(D59:D64)</f>
        <v>1964781.2</v>
      </c>
      <c r="E58" s="720">
        <f t="shared" si="29"/>
        <v>1536973</v>
      </c>
      <c r="F58" s="720">
        <f t="shared" ref="F58:I58" si="30">SUM(F59:F64)</f>
        <v>0</v>
      </c>
      <c r="G58" s="720">
        <f t="shared" si="30"/>
        <v>152500</v>
      </c>
      <c r="H58" s="720">
        <f t="shared" si="30"/>
        <v>0</v>
      </c>
      <c r="I58" s="720">
        <f t="shared" si="30"/>
        <v>1896750</v>
      </c>
      <c r="J58" s="720">
        <f t="shared" ref="J58" si="31">SUM(J59:J64)</f>
        <v>1809004</v>
      </c>
    </row>
    <row r="59" spans="1:10" x14ac:dyDescent="0.2">
      <c r="A59" s="709">
        <v>56</v>
      </c>
      <c r="B59" s="717" t="s">
        <v>824</v>
      </c>
      <c r="C59" s="718" t="s">
        <v>825</v>
      </c>
      <c r="D59" s="719">
        <f>Korisnici!L173</f>
        <v>551600</v>
      </c>
      <c r="E59" s="719">
        <f>[1]Korisnici!G165</f>
        <v>438189</v>
      </c>
      <c r="F59" s="719">
        <f>[2]Korisnici!J180</f>
        <v>0</v>
      </c>
      <c r="G59" s="719">
        <f>[2]Korisnici!K180</f>
        <v>0</v>
      </c>
      <c r="H59" s="719">
        <f>[2]Korisnici!L180</f>
        <v>0</v>
      </c>
      <c r="I59" s="719">
        <f>[2]Korisnici!M180</f>
        <v>517900</v>
      </c>
      <c r="J59" s="719">
        <f>[3]Korisnici!F183+[3]Korisnici!F185+[3]Korisnici!F188+[3]Korisnici!F187+[3]Korisnici!F189+[3]Korisnici!F190</f>
        <v>519600</v>
      </c>
    </row>
    <row r="60" spans="1:10" x14ac:dyDescent="0.2">
      <c r="A60" s="709">
        <v>57</v>
      </c>
      <c r="B60" s="717" t="s">
        <v>826</v>
      </c>
      <c r="C60" s="718" t="s">
        <v>827</v>
      </c>
      <c r="D60" s="719">
        <f>Korisnici!L183+Korisnici!L220+Korisnici!L236</f>
        <v>826169.2</v>
      </c>
      <c r="E60" s="719">
        <f>[1]Korisnici!G174+[1]Korisnici!G203+[1]Korisnici!G215</f>
        <v>638659</v>
      </c>
      <c r="F60" s="719">
        <f>[2]Korisnici!J189+[2]Korisnici!J220+[2]Korisnici!J232</f>
        <v>0</v>
      </c>
      <c r="G60" s="719">
        <f>[2]Korisnici!K189+[2]Korisnici!K220+[2]Korisnici!K232</f>
        <v>0</v>
      </c>
      <c r="H60" s="719">
        <f>[2]Korisnici!L189+[2]Korisnici!L220+[2]Korisnici!L232</f>
        <v>0</v>
      </c>
      <c r="I60" s="719">
        <f>[2]Korisnici!M189+[2]Korisnici!M220+[2]Korisnici!M232</f>
        <v>791500</v>
      </c>
      <c r="J60" s="719">
        <f>[3]Korisnici!F191+[3]Korisnici!F221+[3]Korisnici!F236+[3]Korisnici!F275</f>
        <v>774604</v>
      </c>
    </row>
    <row r="61" spans="1:10" x14ac:dyDescent="0.2">
      <c r="A61" s="709">
        <v>58</v>
      </c>
      <c r="B61" s="717" t="s">
        <v>828</v>
      </c>
      <c r="C61" s="718" t="s">
        <v>829</v>
      </c>
      <c r="D61" s="719">
        <f>Korisnici!L225</f>
        <v>447012</v>
      </c>
      <c r="E61" s="719">
        <f>[1]Korisnici!G207</f>
        <v>333625</v>
      </c>
      <c r="F61" s="719">
        <f>[2]Korisnici!J224</f>
        <v>0</v>
      </c>
      <c r="G61" s="719">
        <f>[2]Korisnici!K224</f>
        <v>0</v>
      </c>
      <c r="H61" s="719">
        <f>[2]Korisnici!L224</f>
        <v>0</v>
      </c>
      <c r="I61" s="719">
        <f>[2]Korisnici!M224</f>
        <v>434850</v>
      </c>
      <c r="J61" s="719">
        <f>[3]Korisnici!F228+[3]Korisnici!F274</f>
        <v>374800</v>
      </c>
    </row>
    <row r="62" spans="1:10" x14ac:dyDescent="0.2">
      <c r="A62" s="709">
        <v>59</v>
      </c>
      <c r="B62" s="717" t="s">
        <v>830</v>
      </c>
      <c r="C62" s="718" t="s">
        <v>831</v>
      </c>
      <c r="D62" s="719">
        <f>Korisnici!L341</f>
        <v>140000</v>
      </c>
      <c r="E62" s="719">
        <f>[1]Korisnici!G322</f>
        <v>126500</v>
      </c>
      <c r="F62" s="719">
        <f>[2]Korisnici!J347</f>
        <v>0</v>
      </c>
      <c r="G62" s="719">
        <f>[2]Korisnici!K347</f>
        <v>152500</v>
      </c>
      <c r="H62" s="719">
        <f>[2]Korisnici!L347</f>
        <v>0</v>
      </c>
      <c r="I62" s="719">
        <f>[2]Korisnici!M347</f>
        <v>152500</v>
      </c>
      <c r="J62" s="719">
        <f>[3]Korisnici!F350</f>
        <v>140000</v>
      </c>
    </row>
    <row r="63" spans="1:10" x14ac:dyDescent="0.2">
      <c r="A63" s="709">
        <v>60</v>
      </c>
      <c r="B63" s="717" t="s">
        <v>832</v>
      </c>
      <c r="C63" s="718" t="s">
        <v>833</v>
      </c>
      <c r="D63" s="719"/>
      <c r="E63" s="719"/>
      <c r="F63" s="719"/>
      <c r="G63" s="719"/>
      <c r="H63" s="719"/>
      <c r="I63" s="719"/>
      <c r="J63" s="719"/>
    </row>
    <row r="64" spans="1:10" x14ac:dyDescent="0.2">
      <c r="A64" s="709">
        <v>61</v>
      </c>
      <c r="B64" s="717" t="s">
        <v>834</v>
      </c>
      <c r="C64" s="718" t="s">
        <v>835</v>
      </c>
      <c r="D64" s="719"/>
      <c r="E64" s="719"/>
      <c r="F64" s="719"/>
      <c r="G64" s="719"/>
      <c r="H64" s="719"/>
      <c r="I64" s="719"/>
      <c r="J64" s="719"/>
    </row>
    <row r="65" spans="1:10" x14ac:dyDescent="0.2">
      <c r="A65" s="709">
        <v>62</v>
      </c>
      <c r="B65" s="714" t="s">
        <v>836</v>
      </c>
      <c r="C65" s="715" t="s">
        <v>837</v>
      </c>
      <c r="D65" s="720">
        <f t="shared" ref="D65" si="32">SUM(D66:D73)</f>
        <v>418600.19999999995</v>
      </c>
      <c r="E65" s="720">
        <f t="shared" ref="E65" si="33">SUM(E66:E73)</f>
        <v>304003</v>
      </c>
      <c r="F65" s="720">
        <f t="shared" ref="F65:I65" si="34">SUM(F66:F73)</f>
        <v>0</v>
      </c>
      <c r="G65" s="720">
        <f t="shared" si="34"/>
        <v>0</v>
      </c>
      <c r="H65" s="720">
        <f t="shared" si="34"/>
        <v>0</v>
      </c>
      <c r="I65" s="720">
        <f t="shared" si="34"/>
        <v>373450</v>
      </c>
      <c r="J65" s="720">
        <f t="shared" ref="J65" si="35">SUM(J66:J73)</f>
        <v>377500</v>
      </c>
    </row>
    <row r="66" spans="1:10" x14ac:dyDescent="0.2">
      <c r="A66" s="709">
        <v>63</v>
      </c>
      <c r="B66" s="717" t="s">
        <v>838</v>
      </c>
      <c r="C66" s="718" t="s">
        <v>839</v>
      </c>
      <c r="D66" s="719">
        <f>Korisnici!L229</f>
        <v>315600.19999999995</v>
      </c>
      <c r="E66" s="719">
        <f>[1]Korisnici!G210</f>
        <v>222253</v>
      </c>
      <c r="F66" s="719">
        <f>[2]Korisnici!J227</f>
        <v>0</v>
      </c>
      <c r="G66" s="719">
        <f>[2]Korisnici!K227</f>
        <v>0</v>
      </c>
      <c r="H66" s="719">
        <f>[2]Korisnici!L227</f>
        <v>0</v>
      </c>
      <c r="I66" s="719">
        <f>[2]Korisnici!M227</f>
        <v>283000</v>
      </c>
      <c r="J66" s="719">
        <f>[3]Korisnici!F231</f>
        <v>283000</v>
      </c>
    </row>
    <row r="67" spans="1:10" x14ac:dyDescent="0.2">
      <c r="A67" s="709">
        <v>64</v>
      </c>
      <c r="B67" s="717" t="s">
        <v>840</v>
      </c>
      <c r="C67" s="718" t="s">
        <v>841</v>
      </c>
      <c r="D67" s="719"/>
      <c r="E67" s="719"/>
      <c r="F67" s="719"/>
      <c r="G67" s="719"/>
      <c r="H67" s="719"/>
      <c r="I67" s="719"/>
      <c r="J67" s="719"/>
    </row>
    <row r="68" spans="1:10" ht="24" x14ac:dyDescent="0.2">
      <c r="A68" s="709">
        <v>65</v>
      </c>
      <c r="B68" s="717" t="s">
        <v>842</v>
      </c>
      <c r="C68" s="718" t="s">
        <v>843</v>
      </c>
      <c r="D68" s="719"/>
      <c r="E68" s="719"/>
      <c r="F68" s="719"/>
      <c r="G68" s="719"/>
      <c r="H68" s="719"/>
      <c r="I68" s="719"/>
      <c r="J68" s="719"/>
    </row>
    <row r="69" spans="1:10" x14ac:dyDescent="0.2">
      <c r="A69" s="709">
        <v>66</v>
      </c>
      <c r="B69" s="717" t="s">
        <v>844</v>
      </c>
      <c r="C69" s="718" t="s">
        <v>845</v>
      </c>
      <c r="D69" s="719"/>
      <c r="E69" s="719"/>
      <c r="F69" s="719"/>
      <c r="G69" s="719"/>
      <c r="H69" s="719"/>
      <c r="I69" s="719"/>
      <c r="J69" s="719"/>
    </row>
    <row r="70" spans="1:10" x14ac:dyDescent="0.2">
      <c r="A70" s="709">
        <v>67</v>
      </c>
      <c r="B70" s="717" t="s">
        <v>846</v>
      </c>
      <c r="C70" s="718" t="s">
        <v>847</v>
      </c>
      <c r="D70" s="719">
        <f>Korisnici!L167+Korisnici!L191+Korisnici!L192+Korisnici!L193+Korisnici!L194+Korisnici!L195</f>
        <v>103000</v>
      </c>
      <c r="E70" s="719">
        <f>[1]Korisnici!G160+[1]Korisnici!G178+[1]Korisnici!G179+[1]Korisnici!G180+[1]Korisnici!G181</f>
        <v>81750</v>
      </c>
      <c r="F70" s="719">
        <f>[2]Korisnici!J170+[2]Korisnici!J195+[2]Korisnici!J196+[2]Korisnici!J197+[2]Korisnici!J198</f>
        <v>0</v>
      </c>
      <c r="G70" s="719">
        <f>[2]Korisnici!K170+[2]Korisnici!K195+[2]Korisnici!K196+[2]Korisnici!K197+[2]Korisnici!K198</f>
        <v>0</v>
      </c>
      <c r="H70" s="719">
        <f>[2]Korisnici!L170+[2]Korisnici!L195+[2]Korisnici!L196+[2]Korisnici!L197+[2]Korisnici!L198</f>
        <v>0</v>
      </c>
      <c r="I70" s="719">
        <f>[2]Korisnici!M170+[2]Korisnici!M195+[2]Korisnici!M196+[2]Korisnici!M197+[2]Korisnici!M198</f>
        <v>90450</v>
      </c>
      <c r="J70" s="719">
        <f>[3]Korisnici!F172+[3]Korisnici!F197+[3]Korisnici!F198+[3]Korisnici!F199+[3]Korisnici!F200</f>
        <v>94500</v>
      </c>
    </row>
    <row r="71" spans="1:10" x14ac:dyDescent="0.2">
      <c r="A71" s="709">
        <v>68</v>
      </c>
      <c r="B71" s="717" t="s">
        <v>848</v>
      </c>
      <c r="C71" s="718" t="s">
        <v>849</v>
      </c>
      <c r="D71" s="719"/>
      <c r="E71" s="719"/>
      <c r="F71" s="719"/>
      <c r="G71" s="719"/>
      <c r="H71" s="719"/>
      <c r="I71" s="719"/>
      <c r="J71" s="719"/>
    </row>
    <row r="72" spans="1:10" x14ac:dyDescent="0.2">
      <c r="A72" s="709">
        <v>69</v>
      </c>
      <c r="B72" s="717" t="s">
        <v>850</v>
      </c>
      <c r="C72" s="718" t="s">
        <v>851</v>
      </c>
      <c r="D72" s="719"/>
      <c r="E72" s="719"/>
      <c r="F72" s="719"/>
      <c r="G72" s="719"/>
      <c r="H72" s="719"/>
      <c r="I72" s="719"/>
      <c r="J72" s="719"/>
    </row>
    <row r="73" spans="1:10" x14ac:dyDescent="0.2">
      <c r="A73" s="709">
        <v>70</v>
      </c>
      <c r="B73" s="717" t="s">
        <v>852</v>
      </c>
      <c r="C73" s="718" t="s">
        <v>853</v>
      </c>
      <c r="D73" s="719"/>
      <c r="E73" s="719"/>
      <c r="F73" s="719"/>
      <c r="G73" s="719"/>
      <c r="H73" s="719"/>
      <c r="I73" s="719"/>
      <c r="J73" s="719"/>
    </row>
    <row r="74" spans="1:10" x14ac:dyDescent="0.2">
      <c r="A74" s="709">
        <v>71</v>
      </c>
      <c r="B74" s="714" t="s">
        <v>854</v>
      </c>
      <c r="C74" s="712" t="s">
        <v>855</v>
      </c>
      <c r="D74" s="720">
        <f t="shared" ref="D74" si="36">SUM(D75:D83)</f>
        <v>555000</v>
      </c>
      <c r="E74" s="720">
        <f t="shared" ref="E74" si="37">SUM(E75:E83)</f>
        <v>343837</v>
      </c>
      <c r="F74" s="720">
        <f t="shared" ref="F74:I74" si="38">SUM(F75:F83)</f>
        <v>0</v>
      </c>
      <c r="G74" s="720">
        <f t="shared" si="38"/>
        <v>0</v>
      </c>
      <c r="H74" s="720">
        <f t="shared" si="38"/>
        <v>0</v>
      </c>
      <c r="I74" s="720">
        <f t="shared" si="38"/>
        <v>496800</v>
      </c>
      <c r="J74" s="720">
        <f t="shared" ref="J74" si="39">SUM(J75:J83)</f>
        <v>553600</v>
      </c>
    </row>
    <row r="75" spans="1:10" x14ac:dyDescent="0.2">
      <c r="A75" s="709">
        <v>72</v>
      </c>
      <c r="B75" s="717" t="s">
        <v>856</v>
      </c>
      <c r="C75" s="718" t="s">
        <v>857</v>
      </c>
      <c r="D75" s="719"/>
      <c r="E75" s="719"/>
      <c r="F75" s="719"/>
      <c r="G75" s="719"/>
      <c r="H75" s="719"/>
      <c r="I75" s="719"/>
      <c r="J75" s="719"/>
    </row>
    <row r="76" spans="1:10" x14ac:dyDescent="0.2">
      <c r="A76" s="709">
        <v>73</v>
      </c>
      <c r="B76" s="717" t="s">
        <v>858</v>
      </c>
      <c r="C76" s="718" t="s">
        <v>859</v>
      </c>
      <c r="D76" s="719"/>
      <c r="E76" s="719"/>
      <c r="F76" s="719"/>
      <c r="G76" s="719"/>
      <c r="H76" s="719"/>
      <c r="I76" s="719"/>
      <c r="J76" s="719"/>
    </row>
    <row r="77" spans="1:10" x14ac:dyDescent="0.2">
      <c r="A77" s="709">
        <v>74</v>
      </c>
      <c r="B77" s="717" t="s">
        <v>860</v>
      </c>
      <c r="C77" s="718" t="s">
        <v>861</v>
      </c>
      <c r="D77" s="719"/>
      <c r="E77" s="719"/>
      <c r="F77" s="719"/>
      <c r="G77" s="719"/>
      <c r="H77" s="719"/>
      <c r="I77" s="719"/>
      <c r="J77" s="719"/>
    </row>
    <row r="78" spans="1:10" x14ac:dyDescent="0.2">
      <c r="A78" s="709">
        <v>75</v>
      </c>
      <c r="B78" s="717" t="s">
        <v>862</v>
      </c>
      <c r="C78" s="718" t="s">
        <v>863</v>
      </c>
      <c r="D78" s="719"/>
      <c r="E78" s="719"/>
      <c r="F78" s="719"/>
      <c r="G78" s="719"/>
      <c r="H78" s="719"/>
      <c r="I78" s="719"/>
      <c r="J78" s="719"/>
    </row>
    <row r="79" spans="1:10" x14ac:dyDescent="0.2">
      <c r="A79" s="709">
        <v>76</v>
      </c>
      <c r="B79" s="717" t="s">
        <v>864</v>
      </c>
      <c r="C79" s="718" t="s">
        <v>865</v>
      </c>
      <c r="D79" s="719"/>
      <c r="E79" s="719"/>
      <c r="F79" s="719"/>
      <c r="G79" s="719"/>
      <c r="H79" s="719"/>
      <c r="I79" s="719"/>
      <c r="J79" s="719"/>
    </row>
    <row r="80" spans="1:10" x14ac:dyDescent="0.2">
      <c r="A80" s="709">
        <v>77</v>
      </c>
      <c r="B80" s="717" t="s">
        <v>866</v>
      </c>
      <c r="C80" s="718" t="s">
        <v>867</v>
      </c>
      <c r="D80" s="719"/>
      <c r="E80" s="719"/>
      <c r="F80" s="719"/>
      <c r="G80" s="719"/>
      <c r="H80" s="719"/>
      <c r="I80" s="719"/>
      <c r="J80" s="719"/>
    </row>
    <row r="81" spans="1:10" x14ac:dyDescent="0.2">
      <c r="A81" s="709">
        <v>78</v>
      </c>
      <c r="B81" s="717" t="s">
        <v>868</v>
      </c>
      <c r="C81" s="718" t="s">
        <v>869</v>
      </c>
      <c r="D81" s="719"/>
      <c r="E81" s="719"/>
      <c r="F81" s="719"/>
      <c r="G81" s="719"/>
      <c r="H81" s="719"/>
      <c r="I81" s="719"/>
      <c r="J81" s="719"/>
    </row>
    <row r="82" spans="1:10" x14ac:dyDescent="0.2">
      <c r="A82" s="709">
        <v>79</v>
      </c>
      <c r="B82" s="717" t="s">
        <v>870</v>
      </c>
      <c r="C82" s="718" t="s">
        <v>871</v>
      </c>
      <c r="D82" s="719"/>
      <c r="E82" s="719"/>
      <c r="F82" s="719"/>
      <c r="G82" s="719"/>
      <c r="H82" s="719"/>
      <c r="I82" s="719"/>
      <c r="J82" s="719"/>
    </row>
    <row r="83" spans="1:10" x14ac:dyDescent="0.2">
      <c r="A83" s="709">
        <v>80</v>
      </c>
      <c r="B83" s="717" t="s">
        <v>872</v>
      </c>
      <c r="C83" s="718" t="s">
        <v>873</v>
      </c>
      <c r="D83" s="719">
        <f>Korisnici!L196+Korisnici!L202+Korisnici!L232+Korisnici!L241+Korisnici!L271+Korisnici!L276+Korisnici!L458</f>
        <v>555000</v>
      </c>
      <c r="E83" s="719">
        <f>[1]Korisnici!G182+[1]Korisnici!G186+[1]Korisnici!G212+[1]Korisnici!G220+[1]Korisnici!G247</f>
        <v>343837</v>
      </c>
      <c r="F83" s="719">
        <f>[2]Korisnici!J199+[2]Korisnici!J203+[2]Korisnici!J229+[2]Korisnici!J237+[2]Korisnici!J268+[2]Korisnici!J269</f>
        <v>0</v>
      </c>
      <c r="G83" s="719">
        <f>[2]Korisnici!K199+[2]Korisnici!K203+[2]Korisnici!K229+[2]Korisnici!K237+[2]Korisnici!K268+[2]Korisnici!K269</f>
        <v>0</v>
      </c>
      <c r="H83" s="719">
        <f>[2]Korisnici!L199+[2]Korisnici!L203+[2]Korisnici!L229+[2]Korisnici!L237+[2]Korisnici!L268+[2]Korisnici!L269</f>
        <v>0</v>
      </c>
      <c r="I83" s="719">
        <f>[2]Korisnici!M199+[2]Korisnici!M203+[2]Korisnici!M229+[2]Korisnici!M237+[2]Korisnici!M268+[2]Korisnici!M269</f>
        <v>496800</v>
      </c>
      <c r="J83" s="719">
        <f>[3]Korisnici!F201+[3]Korisnici!F205+[3]Korisnici!F233+[3]Korisnici!F241+[3]Korisnici!F272+[3]Korisnici!F273</f>
        <v>553600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Sheet1</vt:lpstr>
      <vt:lpstr>Str.1</vt:lpstr>
      <vt:lpstr>PRIMICI</vt:lpstr>
      <vt:lpstr>Izdaci </vt:lpstr>
      <vt:lpstr>Korisnici</vt:lpstr>
      <vt:lpstr>Organizaciona</vt:lpstr>
      <vt:lpstr>funkcionalna</vt:lpstr>
      <vt:lpstr>funkcionalna!Print_Area</vt:lpstr>
      <vt:lpstr>'Izdaci '!Print_Area</vt:lpstr>
      <vt:lpstr>Korisnici!Print_Area</vt:lpstr>
      <vt:lpstr>Organizaciona!Print_Area</vt:lpstr>
      <vt:lpstr>PRIMICI!Print_Area</vt:lpstr>
      <vt:lpstr>Str.1!Print_Area</vt:lpstr>
      <vt:lpstr>'Izdaci '!Print_Titles</vt:lpstr>
      <vt:lpstr>Korisnici!Print_Titles</vt:lpstr>
      <vt:lpstr>PRIMICI!Print_Titles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Beganović Enver</dc:creator>
  <cp:lastModifiedBy>Advija Imamović</cp:lastModifiedBy>
  <cp:lastPrinted>2019-12-04T08:49:52Z</cp:lastPrinted>
  <dcterms:created xsi:type="dcterms:W3CDTF">2001-05-21T10:11:32Z</dcterms:created>
  <dcterms:modified xsi:type="dcterms:W3CDTF">2019-12-04T08:49:56Z</dcterms:modified>
</cp:coreProperties>
</file>